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12480" windowHeight="11760"/>
  </bookViews>
  <sheets>
    <sheet name="StoN analyse" sheetId="1" r:id="rId1"/>
    <sheet name="Gebruikte formules" sheetId="4" r:id="rId2"/>
  </sheets>
  <calcPr calcId="125725"/>
</workbook>
</file>

<file path=xl/calcChain.xml><?xml version="1.0" encoding="utf-8"?>
<calcChain xmlns="http://schemas.openxmlformats.org/spreadsheetml/2006/main">
  <c r="D12" i="1"/>
  <c r="I13"/>
  <c r="B12" l="1"/>
  <c r="D23"/>
  <c r="H19"/>
  <c r="C19"/>
  <c r="I23"/>
  <c r="I24" s="1"/>
  <c r="I25" s="1"/>
  <c r="G23"/>
  <c r="F23" l="1"/>
  <c r="I15"/>
  <c r="D14"/>
  <c r="I17" s="1"/>
  <c r="I5"/>
  <c r="I18" l="1"/>
  <c r="I19" s="1"/>
  <c r="F28"/>
  <c r="D18" s="1"/>
  <c r="I28"/>
  <c r="D24"/>
  <c r="I26" s="1"/>
  <c r="I27" s="1"/>
  <c r="G24"/>
  <c r="G25" s="1"/>
  <c r="F24"/>
  <c r="F25" s="1"/>
  <c r="D28"/>
  <c r="G28"/>
  <c r="I30" l="1"/>
  <c r="I34" s="1"/>
  <c r="D17"/>
  <c r="D19" s="1"/>
  <c r="I29"/>
  <c r="F26"/>
  <c r="F27" s="1"/>
  <c r="F30" s="1"/>
  <c r="F34" s="1"/>
  <c r="G26"/>
  <c r="G27" s="1"/>
  <c r="D26"/>
  <c r="D27" s="1"/>
  <c r="D30" s="1"/>
  <c r="D34" s="1"/>
  <c r="I31" l="1"/>
  <c r="I33"/>
  <c r="I35" s="1"/>
  <c r="I39" s="1"/>
  <c r="I38" s="1"/>
  <c r="F29"/>
  <c r="G29"/>
  <c r="G33" s="1"/>
  <c r="G30"/>
  <c r="G34" s="1"/>
  <c r="D29"/>
  <c r="D33" s="1"/>
  <c r="D35" s="1"/>
  <c r="D39" s="1"/>
  <c r="F31" l="1"/>
  <c r="F33"/>
  <c r="I41"/>
  <c r="I45" s="1"/>
  <c r="I37"/>
  <c r="G35"/>
  <c r="G39" s="1"/>
  <c r="G31"/>
  <c r="D31"/>
  <c r="F37" l="1"/>
  <c r="F41"/>
  <c r="F45" s="1"/>
  <c r="F35"/>
  <c r="F39" s="1"/>
  <c r="F38" s="1"/>
  <c r="G41"/>
  <c r="G45" s="1"/>
  <c r="G38"/>
  <c r="G37"/>
  <c r="D37"/>
  <c r="D38"/>
  <c r="F42" l="1"/>
  <c r="F43" s="1"/>
  <c r="I42"/>
  <c r="I43" s="1"/>
  <c r="G42"/>
  <c r="G43" s="1"/>
</calcChain>
</file>

<file path=xl/sharedStrings.xml><?xml version="1.0" encoding="utf-8"?>
<sst xmlns="http://schemas.openxmlformats.org/spreadsheetml/2006/main" count="134" uniqueCount="133">
  <si>
    <t>gain [e-/ADU]</t>
  </si>
  <si>
    <t>g</t>
  </si>
  <si>
    <t>r</t>
  </si>
  <si>
    <t>bias [ADU]</t>
  </si>
  <si>
    <t>b</t>
  </si>
  <si>
    <t>d</t>
  </si>
  <si>
    <t>Q.E. * T</t>
  </si>
  <si>
    <t>Telescope</t>
  </si>
  <si>
    <t>A</t>
  </si>
  <si>
    <t>Aperture [cm]</t>
  </si>
  <si>
    <t>pixels x</t>
  </si>
  <si>
    <t>pixels y</t>
  </si>
  <si>
    <t>p</t>
  </si>
  <si>
    <r>
      <t>pixel size [</t>
    </r>
    <r>
      <rPr>
        <sz val="11"/>
        <color theme="1"/>
        <rFont val="Symbol"/>
        <family val="1"/>
        <charset val="2"/>
      </rPr>
      <t>m</t>
    </r>
    <r>
      <rPr>
        <sz val="11"/>
        <color theme="1"/>
        <rFont val="Calibri"/>
        <family val="2"/>
        <scheme val="minor"/>
      </rPr>
      <t>m]</t>
    </r>
  </si>
  <si>
    <t>f</t>
  </si>
  <si>
    <t>F-ratio</t>
  </si>
  <si>
    <t>F/</t>
  </si>
  <si>
    <t>Focal length [cm]</t>
  </si>
  <si>
    <t>D.C.25 [e-/pixel/sec]</t>
  </si>
  <si>
    <t>T</t>
  </si>
  <si>
    <t>Acquisition</t>
  </si>
  <si>
    <t>Exposure time [sec]</t>
  </si>
  <si>
    <t>t</t>
  </si>
  <si>
    <r>
      <t>n</t>
    </r>
    <r>
      <rPr>
        <vertAlign val="subscript"/>
        <sz val="11"/>
        <color theme="1"/>
        <rFont val="Calibri"/>
        <family val="2"/>
        <scheme val="minor"/>
      </rPr>
      <t>d</t>
    </r>
  </si>
  <si>
    <r>
      <t>n</t>
    </r>
    <r>
      <rPr>
        <vertAlign val="subscript"/>
        <sz val="11"/>
        <color theme="1"/>
        <rFont val="Calibri"/>
        <family val="2"/>
        <scheme val="minor"/>
      </rPr>
      <t>r</t>
    </r>
  </si>
  <si>
    <r>
      <t>n</t>
    </r>
    <r>
      <rPr>
        <vertAlign val="subscript"/>
        <sz val="11"/>
        <color theme="1"/>
        <rFont val="Calibri"/>
        <family val="2"/>
        <scheme val="minor"/>
      </rPr>
      <t>f</t>
    </r>
  </si>
  <si>
    <t>FWC</t>
  </si>
  <si>
    <t>Full Well Capacity [e-]</t>
  </si>
  <si>
    <t>Image scale [arcsec/pixel]</t>
  </si>
  <si>
    <t>a</t>
  </si>
  <si>
    <t>Signal [e-/pixel]</t>
  </si>
  <si>
    <t>Object-Sky Ratio</t>
  </si>
  <si>
    <r>
      <t>S</t>
    </r>
    <r>
      <rPr>
        <vertAlign val="subscript"/>
        <sz val="11"/>
        <color theme="1"/>
        <rFont val="Calibri"/>
        <family val="2"/>
        <scheme val="minor"/>
      </rPr>
      <t>raw</t>
    </r>
    <r>
      <rPr>
        <sz val="11"/>
        <color theme="1"/>
        <rFont val="Calibri"/>
        <family val="2"/>
        <scheme val="minor"/>
      </rPr>
      <t xml:space="preserve"> [ADU]</t>
    </r>
  </si>
  <si>
    <r>
      <rPr>
        <sz val="11"/>
        <color theme="1"/>
        <rFont val="Symbol"/>
        <family val="1"/>
        <charset val="2"/>
      </rPr>
      <t>s</t>
    </r>
    <r>
      <rPr>
        <vertAlign val="subscript"/>
        <sz val="11"/>
        <color theme="1"/>
        <rFont val="Calibri"/>
        <family val="2"/>
        <scheme val="minor"/>
      </rPr>
      <t>raw</t>
    </r>
    <r>
      <rPr>
        <sz val="11"/>
        <color theme="1"/>
        <rFont val="Calibri"/>
        <family val="2"/>
        <scheme val="minor"/>
      </rPr>
      <t xml:space="preserve"> [ADU]</t>
    </r>
  </si>
  <si>
    <r>
      <t>(S/N)</t>
    </r>
    <r>
      <rPr>
        <vertAlign val="subscript"/>
        <sz val="11"/>
        <color theme="1"/>
        <rFont val="Calibri"/>
        <family val="2"/>
        <scheme val="minor"/>
      </rPr>
      <t>raw</t>
    </r>
  </si>
  <si>
    <r>
      <t>S</t>
    </r>
    <r>
      <rPr>
        <vertAlign val="subscript"/>
        <sz val="11"/>
        <color theme="1"/>
        <rFont val="Calibri"/>
        <family val="2"/>
        <scheme val="minor"/>
      </rPr>
      <t>dark</t>
    </r>
    <r>
      <rPr>
        <sz val="11"/>
        <color theme="1"/>
        <rFont val="Calibri"/>
        <family val="2"/>
        <scheme val="minor"/>
      </rPr>
      <t xml:space="preserve"> [ADU]</t>
    </r>
  </si>
  <si>
    <r>
      <t>S</t>
    </r>
    <r>
      <rPr>
        <vertAlign val="subscript"/>
        <sz val="11"/>
        <color theme="1"/>
        <rFont val="Calibri"/>
        <family val="2"/>
        <scheme val="minor"/>
      </rPr>
      <t>stack</t>
    </r>
    <r>
      <rPr>
        <sz val="11"/>
        <color theme="1"/>
        <rFont val="Calibri"/>
        <family val="2"/>
        <scheme val="minor"/>
      </rPr>
      <t xml:space="preserve"> [ADU]</t>
    </r>
  </si>
  <si>
    <r>
      <t>S</t>
    </r>
    <r>
      <rPr>
        <vertAlign val="subscript"/>
        <sz val="11"/>
        <color theme="1"/>
        <rFont val="Calibri"/>
        <family val="2"/>
        <scheme val="minor"/>
      </rPr>
      <t>flat</t>
    </r>
    <r>
      <rPr>
        <sz val="11"/>
        <color theme="1"/>
        <rFont val="Calibri"/>
        <family val="2"/>
        <scheme val="minor"/>
      </rPr>
      <t xml:space="preserve"> [ADU]</t>
    </r>
  </si>
  <si>
    <r>
      <rPr>
        <sz val="11"/>
        <color theme="1"/>
        <rFont val="Symbol"/>
        <family val="1"/>
        <charset val="2"/>
      </rPr>
      <t>s</t>
    </r>
    <r>
      <rPr>
        <vertAlign val="subscript"/>
        <sz val="11"/>
        <color theme="1"/>
        <rFont val="Calibri"/>
        <family val="2"/>
        <scheme val="minor"/>
      </rPr>
      <t>dark</t>
    </r>
    <r>
      <rPr>
        <sz val="11"/>
        <color theme="1"/>
        <rFont val="Calibri"/>
        <family val="2"/>
        <scheme val="minor"/>
      </rPr>
      <t xml:space="preserve"> [ADU]</t>
    </r>
  </si>
  <si>
    <r>
      <rPr>
        <sz val="11"/>
        <color theme="1"/>
        <rFont val="Symbol"/>
        <family val="1"/>
        <charset val="2"/>
      </rPr>
      <t>s</t>
    </r>
    <r>
      <rPr>
        <vertAlign val="subscript"/>
        <sz val="11"/>
        <color theme="1"/>
        <rFont val="Calibri"/>
        <family val="2"/>
        <scheme val="minor"/>
      </rPr>
      <t>stack</t>
    </r>
    <r>
      <rPr>
        <sz val="11"/>
        <color theme="1"/>
        <rFont val="Calibri"/>
        <family val="2"/>
        <scheme val="minor"/>
      </rPr>
      <t xml:space="preserve"> [ADU]</t>
    </r>
  </si>
  <si>
    <r>
      <rPr>
        <sz val="11"/>
        <color theme="1"/>
        <rFont val="Symbol"/>
        <family val="1"/>
        <charset val="2"/>
      </rPr>
      <t>s</t>
    </r>
    <r>
      <rPr>
        <vertAlign val="subscript"/>
        <sz val="11"/>
        <color theme="1"/>
        <rFont val="Calibri"/>
        <family val="2"/>
        <scheme val="minor"/>
      </rPr>
      <t>flat</t>
    </r>
    <r>
      <rPr>
        <sz val="11"/>
        <color theme="1"/>
        <rFont val="Calibri"/>
        <family val="2"/>
        <scheme val="minor"/>
      </rPr>
      <t xml:space="preserve"> [ADU]</t>
    </r>
  </si>
  <si>
    <r>
      <rPr>
        <sz val="11"/>
        <color theme="1"/>
        <rFont val="Symbol"/>
        <family val="1"/>
        <charset val="2"/>
      </rPr>
      <t>s</t>
    </r>
    <r>
      <rPr>
        <vertAlign val="subscript"/>
        <sz val="11"/>
        <color theme="1"/>
        <rFont val="Calibri"/>
        <family val="2"/>
        <scheme val="minor"/>
      </rPr>
      <t>calibrated</t>
    </r>
    <r>
      <rPr>
        <sz val="11"/>
        <color theme="1"/>
        <rFont val="Calibri"/>
        <family val="2"/>
        <scheme val="minor"/>
      </rPr>
      <t xml:space="preserve"> [ADU]</t>
    </r>
  </si>
  <si>
    <r>
      <rPr>
        <sz val="11"/>
        <color theme="1"/>
        <rFont val="Symbol"/>
        <family val="1"/>
        <charset val="2"/>
      </rPr>
      <t>s</t>
    </r>
    <r>
      <rPr>
        <vertAlign val="subscript"/>
        <sz val="11"/>
        <color theme="1"/>
        <rFont val="Calibri"/>
        <family val="2"/>
        <scheme val="minor"/>
      </rPr>
      <t>object</t>
    </r>
    <r>
      <rPr>
        <sz val="11"/>
        <color theme="1"/>
        <rFont val="Calibri"/>
        <family val="2"/>
        <scheme val="minor"/>
      </rPr>
      <t xml:space="preserve"> [ADU]</t>
    </r>
  </si>
  <si>
    <r>
      <t>(S/N)</t>
    </r>
    <r>
      <rPr>
        <vertAlign val="subscript"/>
        <sz val="11"/>
        <color theme="1"/>
        <rFont val="Calibri"/>
        <family val="2"/>
        <scheme val="minor"/>
      </rPr>
      <t>darks</t>
    </r>
  </si>
  <si>
    <r>
      <t>(S/N)</t>
    </r>
    <r>
      <rPr>
        <vertAlign val="subscript"/>
        <sz val="11"/>
        <color theme="1"/>
        <rFont val="Calibri"/>
        <family val="2"/>
        <scheme val="minor"/>
      </rPr>
      <t>stack</t>
    </r>
  </si>
  <si>
    <r>
      <t>(S/N)</t>
    </r>
    <r>
      <rPr>
        <vertAlign val="subscript"/>
        <sz val="11"/>
        <color theme="1"/>
        <rFont val="Calibri"/>
        <family val="2"/>
        <scheme val="minor"/>
      </rPr>
      <t>flats</t>
    </r>
  </si>
  <si>
    <r>
      <t>(S/N)</t>
    </r>
    <r>
      <rPr>
        <vertAlign val="subscript"/>
        <sz val="11"/>
        <color theme="1"/>
        <rFont val="Calibri"/>
        <family val="2"/>
        <scheme val="minor"/>
      </rPr>
      <t>calibrated</t>
    </r>
  </si>
  <si>
    <r>
      <t>S</t>
    </r>
    <r>
      <rPr>
        <vertAlign val="subscript"/>
        <sz val="11"/>
        <color theme="1"/>
        <rFont val="Calibri"/>
        <family val="2"/>
        <scheme val="minor"/>
      </rPr>
      <t>calibrated</t>
    </r>
    <r>
      <rPr>
        <sz val="11"/>
        <color theme="1"/>
        <rFont val="Calibri"/>
        <family val="2"/>
        <scheme val="minor"/>
      </rPr>
      <t xml:space="preserve"> [ADU]</t>
    </r>
  </si>
  <si>
    <t>Photo-electrons [e-/pixel/sec]</t>
  </si>
  <si>
    <t>faint flank</t>
  </si>
  <si>
    <t>bright core</t>
  </si>
  <si>
    <r>
      <t>S</t>
    </r>
    <r>
      <rPr>
        <b/>
        <vertAlign val="subscript"/>
        <sz val="11"/>
        <color theme="1"/>
        <rFont val="Calibri"/>
        <family val="2"/>
        <scheme val="minor"/>
      </rPr>
      <t>object</t>
    </r>
    <r>
      <rPr>
        <b/>
        <sz val="11"/>
        <color theme="1"/>
        <rFont val="Calibri"/>
        <family val="2"/>
        <scheme val="minor"/>
      </rPr>
      <t xml:space="preserve"> [ADU]</t>
    </r>
  </si>
  <si>
    <r>
      <t>(S/N)</t>
    </r>
    <r>
      <rPr>
        <b/>
        <vertAlign val="subscript"/>
        <sz val="11"/>
        <color theme="1"/>
        <rFont val="Calibri"/>
        <family val="2"/>
        <scheme val="minor"/>
      </rPr>
      <t>object</t>
    </r>
  </si>
  <si>
    <t>Input</t>
  </si>
  <si>
    <t>Output</t>
  </si>
  <si>
    <t>SQM background</t>
  </si>
  <si>
    <r>
      <t xml:space="preserve">Number </t>
    </r>
    <r>
      <rPr>
        <u/>
        <sz val="11"/>
        <color theme="1"/>
        <rFont val="Calibri"/>
        <family val="2"/>
        <scheme val="minor"/>
      </rPr>
      <t>flat</t>
    </r>
    <r>
      <rPr>
        <sz val="11"/>
        <color theme="1"/>
        <rFont val="Calibri"/>
        <family val="2"/>
        <scheme val="minor"/>
      </rPr>
      <t xml:space="preserve"> frames</t>
    </r>
  </si>
  <si>
    <r>
      <t xml:space="preserve">Number </t>
    </r>
    <r>
      <rPr>
        <u/>
        <sz val="11"/>
        <color theme="1"/>
        <rFont val="Calibri"/>
        <family val="2"/>
        <scheme val="minor"/>
      </rPr>
      <t>dark</t>
    </r>
    <r>
      <rPr>
        <sz val="11"/>
        <color theme="1"/>
        <rFont val="Calibri"/>
        <family val="2"/>
        <scheme val="minor"/>
      </rPr>
      <t xml:space="preserve"> frames</t>
    </r>
  </si>
  <si>
    <r>
      <t xml:space="preserve">Number </t>
    </r>
    <r>
      <rPr>
        <u/>
        <sz val="11"/>
        <color theme="1"/>
        <rFont val="Calibri"/>
        <family val="2"/>
        <scheme val="minor"/>
      </rPr>
      <t>raw</t>
    </r>
    <r>
      <rPr>
        <sz val="11"/>
        <color theme="1"/>
        <rFont val="Calibri"/>
        <family val="2"/>
        <scheme val="minor"/>
      </rPr>
      <t xml:space="preserve"> images</t>
    </r>
  </si>
  <si>
    <t>Saturationlevel flats</t>
  </si>
  <si>
    <t>bit-depth ADC</t>
  </si>
  <si>
    <t>Sky background [e-/pixel]</t>
  </si>
  <si>
    <t>star</t>
  </si>
  <si>
    <r>
      <t>(Surface) brightness [magn/arcsec</t>
    </r>
    <r>
      <rPr>
        <vertAlign val="superscript"/>
        <sz val="11"/>
        <color theme="1"/>
        <rFont val="Calibri"/>
        <family val="2"/>
        <scheme val="minor"/>
      </rPr>
      <t>2</t>
    </r>
    <r>
      <rPr>
        <sz val="11"/>
        <color theme="1"/>
        <rFont val="Calibri"/>
        <family val="2"/>
        <scheme val="minor"/>
      </rPr>
      <t>, mag]</t>
    </r>
  </si>
  <si>
    <r>
      <t>Temperatuur chip [</t>
    </r>
    <r>
      <rPr>
        <vertAlign val="superscript"/>
        <sz val="11"/>
        <color theme="1"/>
        <rFont val="Calibri"/>
        <family val="2"/>
        <scheme val="minor"/>
      </rPr>
      <t>o</t>
    </r>
    <r>
      <rPr>
        <sz val="11"/>
        <color theme="1"/>
        <rFont val="Calibri"/>
        <family val="2"/>
        <scheme val="minor"/>
      </rPr>
      <t>C]</t>
    </r>
  </si>
  <si>
    <t>read-out noise [e- RMS]</t>
  </si>
  <si>
    <t>flat frame corrected</t>
  </si>
  <si>
    <t xml:space="preserve">single image </t>
  </si>
  <si>
    <t>dark frame corrected stack</t>
  </si>
  <si>
    <t>Deepsky astrofotografie en Signaal-Ruisverhouding</t>
  </si>
  <si>
    <t>Signaal-Ruisverhouding</t>
  </si>
  <si>
    <t>De volgende factoren bepalen de S/N verhouding en de kwaliteit van een deepsky astrofoto.</t>
  </si>
  <si>
    <r>
      <t>1)</t>
    </r>
    <r>
      <rPr>
        <sz val="7"/>
        <color theme="1"/>
        <rFont val="Times New Roman"/>
        <family val="1"/>
      </rPr>
      <t xml:space="preserve">      </t>
    </r>
    <r>
      <rPr>
        <sz val="11"/>
        <color theme="1"/>
        <rFont val="Calibri"/>
        <family val="2"/>
        <scheme val="minor"/>
      </rPr>
      <t>Helderheid en/of oppervlaktehelderheid van het te fotograferen object (magnitude of magnitude per arcsec</t>
    </r>
    <r>
      <rPr>
        <vertAlign val="superscript"/>
        <sz val="11"/>
        <color theme="1"/>
        <rFont val="Calibri"/>
        <family val="2"/>
        <scheme val="minor"/>
      </rPr>
      <t>2</t>
    </r>
    <r>
      <rPr>
        <sz val="11"/>
        <color theme="1"/>
        <rFont val="Calibri"/>
        <family val="2"/>
        <scheme val="minor"/>
      </rPr>
      <t>);</t>
    </r>
  </si>
  <si>
    <r>
      <t>2)</t>
    </r>
    <r>
      <rPr>
        <sz val="7"/>
        <color theme="1"/>
        <rFont val="Times New Roman"/>
        <family val="1"/>
      </rPr>
      <t xml:space="preserve">      </t>
    </r>
    <r>
      <rPr>
        <sz val="11"/>
        <color theme="1"/>
        <rFont val="Calibri"/>
        <family val="2"/>
        <scheme val="minor"/>
      </rPr>
      <t>Totale belichtingstijd (t in seconden);</t>
    </r>
  </si>
  <si>
    <r>
      <t>3)</t>
    </r>
    <r>
      <rPr>
        <sz val="7"/>
        <color theme="1"/>
        <rFont val="Times New Roman"/>
        <family val="1"/>
      </rPr>
      <t xml:space="preserve">      </t>
    </r>
    <r>
      <rPr>
        <sz val="11"/>
        <color theme="1"/>
        <rFont val="Calibri"/>
        <family val="2"/>
        <scheme val="minor"/>
      </rPr>
      <t>Aantal opnames in een stack (n);</t>
    </r>
  </si>
  <si>
    <r>
      <t>4)</t>
    </r>
    <r>
      <rPr>
        <sz val="7"/>
        <color theme="1"/>
        <rFont val="Times New Roman"/>
        <family val="1"/>
      </rPr>
      <t xml:space="preserve">      </t>
    </r>
    <r>
      <rPr>
        <sz val="11"/>
        <color theme="1"/>
        <rFont val="Calibri"/>
        <family val="2"/>
        <scheme val="minor"/>
      </rPr>
      <t>Opening van het objectief of van de teleskoop (A in cm);</t>
    </r>
  </si>
  <si>
    <r>
      <t>6)</t>
    </r>
    <r>
      <rPr>
        <sz val="7"/>
        <color theme="1"/>
        <rFont val="Times New Roman"/>
        <family val="1"/>
      </rPr>
      <t xml:space="preserve">      </t>
    </r>
    <r>
      <rPr>
        <sz val="11"/>
        <color theme="1"/>
        <rFont val="Calibri"/>
        <family val="2"/>
        <scheme val="minor"/>
      </rPr>
      <t>Spectrale gevoeligheid of “Quantum Efficiency” van de gebruikte CCD of CMOS camera (in e</t>
    </r>
    <r>
      <rPr>
        <vertAlign val="superscript"/>
        <sz val="11"/>
        <color theme="1"/>
        <rFont val="Calibri"/>
        <family val="2"/>
        <scheme val="minor"/>
      </rPr>
      <t>-</t>
    </r>
    <r>
      <rPr>
        <sz val="11"/>
        <color theme="1"/>
        <rFont val="Calibri"/>
        <family val="2"/>
        <scheme val="minor"/>
      </rPr>
      <t>/foton; met e</t>
    </r>
    <r>
      <rPr>
        <vertAlign val="superscript"/>
        <sz val="11"/>
        <color theme="1"/>
        <rFont val="Calibri"/>
        <family val="2"/>
        <scheme val="minor"/>
      </rPr>
      <t>-</t>
    </r>
    <r>
      <rPr>
        <sz val="11"/>
        <color theme="1"/>
        <rFont val="Calibri"/>
        <family val="2"/>
        <scheme val="minor"/>
      </rPr>
      <t xml:space="preserve"> worden de in de pixel vrijgemaakte foto-elektronen bedoeld) in combinatie met de transmissie karakteristiek van de gebruikte filters (bv. Bayer kleurfilter);</t>
    </r>
  </si>
  <si>
    <r>
      <t>7)</t>
    </r>
    <r>
      <rPr>
        <sz val="7"/>
        <color theme="1"/>
        <rFont val="Times New Roman"/>
        <family val="1"/>
      </rPr>
      <t xml:space="preserve">      </t>
    </r>
    <r>
      <rPr>
        <sz val="11"/>
        <color theme="1"/>
        <rFont val="Calibri"/>
        <family val="2"/>
        <scheme val="minor"/>
      </rPr>
      <t xml:space="preserve">Pixelgrootte van de gebruikte CCD of CMOS camera (p in </t>
    </r>
    <r>
      <rPr>
        <sz val="11"/>
        <color theme="1"/>
        <rFont val="Symbol"/>
        <family val="1"/>
        <charset val="2"/>
      </rPr>
      <t>m</t>
    </r>
    <r>
      <rPr>
        <sz val="11"/>
        <color theme="1"/>
        <rFont val="Calibri"/>
        <family val="2"/>
        <scheme val="minor"/>
      </rPr>
      <t>m);</t>
    </r>
  </si>
  <si>
    <r>
      <t>8)</t>
    </r>
    <r>
      <rPr>
        <sz val="7"/>
        <color theme="1"/>
        <rFont val="Times New Roman"/>
        <family val="1"/>
      </rPr>
      <t xml:space="preserve">      </t>
    </r>
    <r>
      <rPr>
        <sz val="11"/>
        <color theme="1"/>
        <rFont val="Calibri"/>
        <family val="2"/>
        <scheme val="minor"/>
      </rPr>
      <t>Bit-depth van de camera Analoog-Digitaal Converter ofwel ADC (bv. 14-bits geeft 2</t>
    </r>
    <r>
      <rPr>
        <vertAlign val="superscript"/>
        <sz val="11"/>
        <color theme="1"/>
        <rFont val="Calibri"/>
        <family val="2"/>
        <scheme val="minor"/>
      </rPr>
      <t>14</t>
    </r>
    <r>
      <rPr>
        <sz val="11"/>
        <color theme="1"/>
        <rFont val="Calibri"/>
        <family val="2"/>
        <scheme val="minor"/>
      </rPr>
      <t xml:space="preserve"> = 16.384 Analog/Digital Units ofwel ADU);</t>
    </r>
  </si>
  <si>
    <r>
      <t>9)</t>
    </r>
    <r>
      <rPr>
        <sz val="7"/>
        <color theme="1"/>
        <rFont val="Times New Roman"/>
        <family val="1"/>
      </rPr>
      <t xml:space="preserve">      </t>
    </r>
    <r>
      <rPr>
        <sz val="11"/>
        <color theme="1"/>
        <rFont val="Calibri"/>
        <family val="2"/>
        <scheme val="minor"/>
      </rPr>
      <t>Versterking ofwel “gain” van de on-chip analoge versterker en de Full Well Capacity (FWC) per pixel (de gain -g- is gedefineerd in e</t>
    </r>
    <r>
      <rPr>
        <vertAlign val="superscript"/>
        <sz val="11"/>
        <color theme="1"/>
        <rFont val="Calibri"/>
        <family val="2"/>
        <scheme val="minor"/>
      </rPr>
      <t>-</t>
    </r>
    <r>
      <rPr>
        <sz val="11"/>
        <color theme="1"/>
        <rFont val="Calibri"/>
        <family val="2"/>
        <scheme val="minor"/>
      </rPr>
      <t>/ADU);</t>
    </r>
  </si>
  <si>
    <r>
      <t>10)</t>
    </r>
    <r>
      <rPr>
        <sz val="7"/>
        <color theme="1"/>
        <rFont val="Times New Roman"/>
        <family val="1"/>
      </rPr>
      <t xml:space="preserve">   </t>
    </r>
    <r>
      <rPr>
        <sz val="11"/>
        <color theme="1"/>
        <rFont val="Calibri"/>
        <family val="2"/>
        <scheme val="minor"/>
      </rPr>
      <t>Read-out noise van de chip (r in e</t>
    </r>
    <r>
      <rPr>
        <vertAlign val="superscript"/>
        <sz val="11"/>
        <color theme="1"/>
        <rFont val="Calibri"/>
        <family val="2"/>
        <scheme val="minor"/>
      </rPr>
      <t>-</t>
    </r>
    <r>
      <rPr>
        <sz val="11"/>
        <color theme="1"/>
        <rFont val="Calibri"/>
        <family val="2"/>
        <scheme val="minor"/>
      </rPr>
      <t xml:space="preserve"> RMS);</t>
    </r>
  </si>
  <si>
    <r>
      <t>11)</t>
    </r>
    <r>
      <rPr>
        <sz val="7"/>
        <color theme="1"/>
        <rFont val="Times New Roman"/>
        <family val="1"/>
      </rPr>
      <t xml:space="preserve">   </t>
    </r>
    <r>
      <rPr>
        <sz val="11"/>
        <color theme="1"/>
        <rFont val="Calibri"/>
        <family val="2"/>
        <scheme val="minor"/>
      </rPr>
      <t>Donkerstroom of “Dark Current” (d in e</t>
    </r>
    <r>
      <rPr>
        <vertAlign val="superscript"/>
        <sz val="11"/>
        <color theme="1"/>
        <rFont val="Calibri"/>
        <family val="2"/>
        <scheme val="minor"/>
      </rPr>
      <t>-</t>
    </r>
    <r>
      <rPr>
        <sz val="11"/>
        <color theme="1"/>
        <rFont val="Calibri"/>
        <family val="2"/>
        <scheme val="minor"/>
      </rPr>
      <t xml:space="preserve">/pixel/sec). Dite is een sterke functie van de temperatuur: elke 5 </t>
    </r>
    <r>
      <rPr>
        <vertAlign val="superscript"/>
        <sz val="11"/>
        <color theme="1"/>
        <rFont val="Calibri"/>
        <family val="2"/>
        <scheme val="minor"/>
      </rPr>
      <t>o</t>
    </r>
    <r>
      <rPr>
        <sz val="11"/>
        <color theme="1"/>
        <rFont val="Calibri"/>
        <family val="2"/>
        <scheme val="minor"/>
      </rPr>
      <t>C koeling reduceert de dark current met een factor twee;</t>
    </r>
  </si>
  <si>
    <r>
      <t>12)</t>
    </r>
    <r>
      <rPr>
        <sz val="7"/>
        <color theme="1"/>
        <rFont val="Times New Roman"/>
        <family val="1"/>
      </rPr>
      <t xml:space="preserve">   </t>
    </r>
    <r>
      <rPr>
        <sz val="11"/>
        <color theme="1"/>
        <rFont val="Calibri"/>
        <family val="2"/>
        <scheme val="minor"/>
      </rPr>
      <t>Bias niveau van de chip bij de toegepaste gain (b in ADU);</t>
    </r>
  </si>
  <si>
    <r>
      <t>13)</t>
    </r>
    <r>
      <rPr>
        <sz val="7"/>
        <color theme="1"/>
        <rFont val="Times New Roman"/>
        <family val="1"/>
      </rPr>
      <t xml:space="preserve">   </t>
    </r>
    <r>
      <rPr>
        <sz val="11"/>
        <color theme="1"/>
        <rFont val="Calibri"/>
        <family val="2"/>
        <scheme val="minor"/>
      </rPr>
      <t>Belichtingstijd en aantal dark frames (signaal, ruis en S/N</t>
    </r>
    <r>
      <rPr>
        <vertAlign val="subscript"/>
        <sz val="11"/>
        <color theme="1"/>
        <rFont val="Calibri"/>
        <family val="2"/>
        <scheme val="minor"/>
      </rPr>
      <t>dark</t>
    </r>
    <r>
      <rPr>
        <sz val="11"/>
        <color theme="1"/>
        <rFont val="Calibri"/>
        <family val="2"/>
        <scheme val="minor"/>
      </rPr>
      <t>);</t>
    </r>
  </si>
  <si>
    <r>
      <t>14)</t>
    </r>
    <r>
      <rPr>
        <sz val="7"/>
        <color theme="1"/>
        <rFont val="Times New Roman"/>
        <family val="1"/>
      </rPr>
      <t xml:space="preserve">   </t>
    </r>
    <r>
      <rPr>
        <sz val="11"/>
        <color theme="1"/>
        <rFont val="Calibri"/>
        <family val="2"/>
        <scheme val="minor"/>
      </rPr>
      <t>Belichtingstijd en aantal flat frames en flat dark frames (signaal, ruis en S/N</t>
    </r>
    <r>
      <rPr>
        <vertAlign val="subscript"/>
        <sz val="11"/>
        <color theme="1"/>
        <rFont val="Calibri"/>
        <family val="2"/>
        <scheme val="minor"/>
      </rPr>
      <t>flat</t>
    </r>
    <r>
      <rPr>
        <sz val="11"/>
        <color theme="1"/>
        <rFont val="Calibri"/>
        <family val="2"/>
        <scheme val="minor"/>
      </rPr>
      <t>);</t>
    </r>
  </si>
  <si>
    <r>
      <t>15)</t>
    </r>
    <r>
      <rPr>
        <sz val="7"/>
        <color theme="1"/>
        <rFont val="Times New Roman"/>
        <family val="1"/>
      </rPr>
      <t xml:space="preserve">   </t>
    </r>
    <r>
      <rPr>
        <sz val="11"/>
        <color theme="1"/>
        <rFont val="Calibri"/>
        <family val="2"/>
        <scheme val="minor"/>
      </rPr>
      <t>Helderheid van de hemelachtergrond (SQM = Sky Quality Meter, gemeten in magnitude per arcsec</t>
    </r>
    <r>
      <rPr>
        <vertAlign val="superscript"/>
        <sz val="11"/>
        <color theme="1"/>
        <rFont val="Calibri"/>
        <family val="2"/>
        <scheme val="minor"/>
      </rPr>
      <t>2</t>
    </r>
    <r>
      <rPr>
        <sz val="11"/>
        <color theme="1"/>
        <rFont val="Calibri"/>
        <family val="2"/>
        <scheme val="minor"/>
      </rPr>
      <t>);</t>
    </r>
  </si>
  <si>
    <r>
      <t>16)</t>
    </r>
    <r>
      <rPr>
        <sz val="7"/>
        <color theme="1"/>
        <rFont val="Times New Roman"/>
        <family val="1"/>
      </rPr>
      <t xml:space="preserve">   </t>
    </r>
    <r>
      <rPr>
        <sz val="11"/>
        <color theme="1"/>
        <rFont val="Calibri"/>
        <family val="2"/>
        <scheme val="minor"/>
      </rPr>
      <t>Volgnauwkeurigheid en focus;</t>
    </r>
  </si>
  <si>
    <r>
      <t>17)</t>
    </r>
    <r>
      <rPr>
        <sz val="7"/>
        <color theme="1"/>
        <rFont val="Times New Roman"/>
        <family val="1"/>
      </rPr>
      <t xml:space="preserve">   </t>
    </r>
    <r>
      <rPr>
        <sz val="11"/>
        <color theme="1"/>
        <rFont val="Calibri"/>
        <family val="2"/>
        <scheme val="minor"/>
      </rPr>
      <t>Seeing.</t>
    </r>
  </si>
  <si>
    <r>
      <t>5)</t>
    </r>
    <r>
      <rPr>
        <sz val="7"/>
        <color theme="1"/>
        <rFont val="Times New Roman"/>
        <family val="1"/>
      </rPr>
      <t xml:space="preserve">    </t>
    </r>
    <r>
      <rPr>
        <sz val="11"/>
        <color theme="1"/>
        <rFont val="Calibri"/>
        <family val="2"/>
        <scheme val="minor"/>
      </rPr>
      <t>De brandpuntsafstand en/of de openingsverhouding (ofwel de F-ratio) van de telescoop of lens (F-ratio = f/A met f de brandpuntsafstand in cm);</t>
    </r>
  </si>
  <si>
    <t>Objecten met een grote oppervlaktehelderheid komen snel goed uit de verf in een astrofoto met een redelijke of goede S/N verhouding.  Vaak echter zijn er lichtzwakke details die nauwelijks boven de hemelachtergrond uitkomen.  Ook deze details willen we graag zien in het uiteindelijke resultaat.</t>
  </si>
  <si>
    <t>Hoe goed moet de S/N verhouding zijn?  Een S/N van 3 betekent dat het object net detecteerbaar is.  S/N = 20 geeft nog een enigszins korrelig resultaat, bij S/N &gt; 50 is het resultaat goed te noemen en bij S/N &gt; 200 uitstekend.</t>
  </si>
  <si>
    <t>Hoeveel fotonen en foto-elektronen krijg ik per pixel?</t>
  </si>
  <si>
    <t>De verhouding van de oppervlaktehelderheid van het te fotograferen object en de helderheid van de hemelachtergrond (SQM) bepaalt a-priori de signaal-ruisverhouding. Als we een lichtzwakke spiraalarm van een melkwegstelsel willen fotograferen die ongeveer even helder of zelfs zwakker is dan het licht van de hemelachtergrond, zullen we lang moeten belichten om de ruis op beide signalen uit te middelen.  Verder zullen alle andere parameters zo moeten worden gekozen dat de S/N verhouding minimaal verslechtert.</t>
  </si>
  <si>
    <t>Ten eerste wordt de schaal van het beeldveld bepaald door de brandpuntsafstand van het optisch systeem en de pixelgrootte van de camera chip.</t>
  </si>
  <si>
    <r>
      <t>a</t>
    </r>
    <r>
      <rPr>
        <sz val="11"/>
        <color theme="1"/>
        <rFont val="Calibri"/>
        <family val="2"/>
        <scheme val="minor"/>
      </rPr>
      <t xml:space="preserve"> is dus de beeldhoek van een pixel; p en f moeten in dezelfde eenheden worden uitgedrukt.</t>
    </r>
  </si>
  <si>
    <r>
      <t>Het aantal binnenkomende fotonen kan als volgt worden geschat.   Het spectrum van sterlicht is over het algemeen te beschouwen als dat van zgn.  “Black Body Radiation”.  De lichtkracht (“luminosity”) en het aantal fotonen dat door een ster wordt uitgezonden is dan afhankelijk van de oppervlakte temperatuur van de ster.  Als goede vuistregel geldt dat een ster met schijnbare magnitude m=0 en oppervlakte temperatuur tussen 5000 en 10.000 K ongeveer 10.000.000 fotonen per cm</t>
    </r>
    <r>
      <rPr>
        <vertAlign val="superscript"/>
        <sz val="11"/>
        <color theme="1"/>
        <rFont val="Calibri"/>
        <family val="2"/>
        <scheme val="minor"/>
      </rPr>
      <t>2</t>
    </r>
    <r>
      <rPr>
        <sz val="11"/>
        <color theme="1"/>
        <rFont val="Calibri"/>
        <family val="2"/>
        <scheme val="minor"/>
      </rPr>
      <t xml:space="preserve"> per seconde levert aan de waarnemer.  Nu geeft elke 5 magnituden meer een verzwakking met een factor 100x (één magnitude is ongeveer een factor 2.512).  Dus een ster van m=5 levert nog maar 100.000 fotonen/cm</t>
    </r>
    <r>
      <rPr>
        <vertAlign val="superscript"/>
        <sz val="11"/>
        <color theme="1"/>
        <rFont val="Calibri"/>
        <family val="2"/>
        <scheme val="minor"/>
      </rPr>
      <t>2</t>
    </r>
    <r>
      <rPr>
        <sz val="11"/>
        <color theme="1"/>
        <rFont val="Calibri"/>
        <family val="2"/>
        <scheme val="minor"/>
      </rPr>
      <t>/sec.</t>
    </r>
  </si>
  <si>
    <t>Deze fotonen zijn verdeeld over het hele spectrum – van het verre infrarood tot ultraviolet en x-rays.  Als we ons beperken tot het visuele deel van het spectrum (het oog) of als we een monochrome CCD chip met hoge Q.E. gebruiken, moeten we dit aantal fotonen met ongeveer 25% vermenigvuldigen.  Als we een kleuren CMOS-camera met Bayer filter gebruiken, is deze vermenigvuldigingsfactor slechts 10%.</t>
  </si>
  <si>
    <t>We kunnen nu het aantal fotonen dat de pixel op onze camerachip bereikt en dus het aantal vrijgemaakte foto-elektonen in het emmertje (“well”) van de pixel bepalen.  In de volgende vergelijking is Q.E.*T het eerder genoemde product van de Quantum Efficiency van de chip en de spectrale transmissie van het gebruikte filter en is dus ongeveer 10% tot 25%, afhankelijk van de gebruikte apparatuur.  Additionele filters zullen het licht en het aantal geregistreerde fotonen verder verzwakken en verminderen.</t>
  </si>
  <si>
    <r>
      <t>F</t>
    </r>
    <r>
      <rPr>
        <vertAlign val="subscript"/>
        <sz val="11"/>
        <color theme="1"/>
        <rFont val="Calibri"/>
        <family val="2"/>
        <scheme val="minor"/>
      </rPr>
      <t>i</t>
    </r>
    <r>
      <rPr>
        <sz val="11"/>
        <color theme="1"/>
        <rFont val="Calibri"/>
        <family val="2"/>
        <scheme val="minor"/>
      </rPr>
      <t xml:space="preserve"> is het aantal foto-elektronen in de pixel die zijn vrijgemaakt door invallende fotonen en A is in cm.</t>
    </r>
  </si>
  <si>
    <t>Als het over de oppervlaktehelderheid van een object gaat, moeten we dit nog vermenigvuldigen met het kwadraat van de schaal van het beeldveld.</t>
  </si>
  <si>
    <t>Precies dezelfde relatie geldt voor de fotonen van de hemelachtergrond (SQM).</t>
  </si>
  <si>
    <t xml:space="preserve">Het signaal van de hemelachtergrond en het signaal van het object worden gezamenlijk door de pixels van de camera geregistreerd.  </t>
  </si>
  <si>
    <t>Een SQM waarde van 21 is normaal haalbaar voor redelijk donkere observatie locaties.  Als het erg donker is, kan de hemelachtergrond een SQM waarde van 22 of beter halen.  Dit is de reden dat velen van ons eropuit trekken naar donkere, wolkeloze en zuidelijke streken met een goede transparantie van de atmosfeer.....</t>
  </si>
  <si>
    <t>Berekening van de S/N verhouding</t>
  </si>
  <si>
    <t>Het doel van de acquisitie van de opnamen en de kalibratie is een optimale S/N ratio van het resultaat te krijgen.  Daartoe willen we de invloed van de camera gebonden ruiscontributies minimaliseren zodat het resultaat wordt gedomineerd door de Poisson statistiek van de binnenkomende fotonen.</t>
  </si>
  <si>
    <r>
      <t xml:space="preserve">De vergelijkingen voor het signaal en de standaarddeviatie (of ruis) in de CCD of CMOS camera pixel zijn als volgt (S en </t>
    </r>
    <r>
      <rPr>
        <sz val="11"/>
        <color theme="1"/>
        <rFont val="Symbol"/>
        <family val="1"/>
        <charset val="2"/>
      </rPr>
      <t>s</t>
    </r>
    <r>
      <rPr>
        <sz val="11"/>
        <color theme="1"/>
        <rFont val="Calibri"/>
        <family val="2"/>
        <scheme val="minor"/>
      </rPr>
      <t xml:space="preserve"> in ADU).</t>
    </r>
  </si>
  <si>
    <r>
      <t>x</t>
    </r>
    <r>
      <rPr>
        <vertAlign val="subscript"/>
        <sz val="11"/>
        <color theme="1"/>
        <rFont val="Calibri"/>
        <family val="2"/>
        <scheme val="minor"/>
      </rPr>
      <t>pe</t>
    </r>
    <r>
      <rPr>
        <sz val="11"/>
        <color theme="1"/>
        <rFont val="Calibri"/>
        <family val="2"/>
        <scheme val="minor"/>
      </rPr>
      <t xml:space="preserve"> geeft het aantal foto-elektronen in de pixel als gevolg van invallende fotonen van het gefotografeerde object en de hemelachtergrond.  x</t>
    </r>
    <r>
      <rPr>
        <vertAlign val="subscript"/>
        <sz val="11"/>
        <color theme="1"/>
        <rFont val="Calibri"/>
        <family val="2"/>
        <scheme val="minor"/>
      </rPr>
      <t>d</t>
    </r>
    <r>
      <rPr>
        <sz val="11"/>
        <color theme="1"/>
        <rFont val="Calibri"/>
        <family val="2"/>
        <scheme val="minor"/>
      </rPr>
      <t xml:space="preserve"> = t</t>
    </r>
    <r>
      <rPr>
        <sz val="11"/>
        <color theme="1"/>
        <rFont val="Symbol"/>
        <family val="1"/>
        <charset val="2"/>
      </rPr>
      <t xml:space="preserve"> ´</t>
    </r>
    <r>
      <rPr>
        <sz val="11"/>
        <color theme="1"/>
        <rFont val="Calibri"/>
        <family val="2"/>
        <scheme val="minor"/>
      </rPr>
      <t xml:space="preserve"> d  is het aantal geaccumuleerde elektronen gedurende de opname als gevolg van de thermische ruis (dark current) en r is de read-out noise.</t>
    </r>
  </si>
  <si>
    <r>
      <t xml:space="preserve">De door de invallende fotonen vrijgemaakte elektronen zijn verdeeld volgens de  Poisson statistiek en de standaarddeviatie is gelijk aan de wortel van het aantal vrijgemaakte elektronen: </t>
    </r>
    <r>
      <rPr>
        <sz val="11"/>
        <color theme="1"/>
        <rFont val="Symbol"/>
        <family val="1"/>
        <charset val="2"/>
      </rPr>
      <t>s</t>
    </r>
    <r>
      <rPr>
        <vertAlign val="subscript"/>
        <sz val="11"/>
        <color theme="1"/>
        <rFont val="Calibri"/>
        <family val="2"/>
        <scheme val="minor"/>
      </rPr>
      <t>pe</t>
    </r>
    <r>
      <rPr>
        <sz val="11"/>
        <color theme="1"/>
        <rFont val="Calibri"/>
        <family val="2"/>
        <scheme val="minor"/>
      </rPr>
      <t>=√x</t>
    </r>
    <r>
      <rPr>
        <vertAlign val="subscript"/>
        <sz val="11"/>
        <color theme="1"/>
        <rFont val="Calibri"/>
        <family val="2"/>
        <scheme val="minor"/>
      </rPr>
      <t>pe</t>
    </r>
    <r>
      <rPr>
        <sz val="11"/>
        <color theme="1"/>
        <rFont val="Calibri"/>
        <family val="2"/>
        <scheme val="minor"/>
      </rPr>
      <t>.</t>
    </r>
  </si>
  <si>
    <t>De ruwe signaal-ruisverhouding van één enkele opname is gedefinieerd als:</t>
  </si>
  <si>
    <r>
      <t>Voor de dark frames gelden dezelfde vergelijkingen met x</t>
    </r>
    <r>
      <rPr>
        <vertAlign val="subscript"/>
        <sz val="11"/>
        <color theme="1"/>
        <rFont val="Calibri"/>
        <family val="2"/>
        <scheme val="minor"/>
      </rPr>
      <t>pe</t>
    </r>
    <r>
      <rPr>
        <sz val="11"/>
        <color theme="1"/>
        <rFont val="Calibri"/>
        <family val="2"/>
        <scheme val="minor"/>
      </rPr>
      <t>=0.</t>
    </r>
  </si>
  <si>
    <r>
      <t>Als we een stack schieten van n</t>
    </r>
    <r>
      <rPr>
        <vertAlign val="subscript"/>
        <sz val="11"/>
        <color theme="1"/>
        <rFont val="Calibri"/>
        <family val="2"/>
        <scheme val="minor"/>
      </rPr>
      <t>r</t>
    </r>
    <r>
      <rPr>
        <sz val="11"/>
        <color theme="1"/>
        <rFont val="Calibri"/>
        <family val="2"/>
        <scheme val="minor"/>
      </rPr>
      <t xml:space="preserve"> opnamen van het object en n</t>
    </r>
    <r>
      <rPr>
        <vertAlign val="subscript"/>
        <sz val="11"/>
        <color theme="1"/>
        <rFont val="Calibri"/>
        <family val="2"/>
        <scheme val="minor"/>
      </rPr>
      <t>d</t>
    </r>
    <r>
      <rPr>
        <sz val="11"/>
        <color theme="1"/>
        <rFont val="Calibri"/>
        <family val="2"/>
        <scheme val="minor"/>
      </rPr>
      <t xml:space="preserve"> dark frames, dit alles met dezelfde belichtingstijd, is het signaal van het gemiddelde in de gekalibreerde stack als volgt te berekenen.</t>
    </r>
  </si>
  <si>
    <t>De ruis is nu veel kleiner geworden.</t>
  </si>
  <si>
    <t xml:space="preserve">We moeten voldoende dark frames nemen.  Het optimum aantal is als volgt: </t>
  </si>
  <si>
    <t>In de praktijk schiet men ten minste 5 dark frames met dezelfde belichtingstijd als de ruwe opname.</t>
  </si>
  <si>
    <t>Bij het maken van flat field frames is de Poisson statistiek minder belangrijk want we belichten meestal tot 50%-70% van saturatie.  De S/N verhouding wordt dan snel goed. Met een 14-bits ADC geeft een stack van 4 gekalibreerde flats al een S/N van 180.  Met een 12-bits ADC is de S/N slechts 90 met 4 flats en kan men beter 16 flats nemen voor een S/N van 180.</t>
  </si>
  <si>
    <t>Na delen van de dark frame gecorrigeerde stack door het gekalibreerde en genormeerde flat field frame neemt de signaal-ruisverhouding iets af.</t>
  </si>
  <si>
    <r>
      <t>Voor het middelen van de opnamen en de kalibratieframes wordt vaak k</t>
    </r>
    <r>
      <rPr>
        <sz val="11"/>
        <color theme="1"/>
        <rFont val="Symbol"/>
        <family val="1"/>
        <charset val="2"/>
      </rPr>
      <t>s</t>
    </r>
    <r>
      <rPr>
        <sz val="11"/>
        <color theme="1"/>
        <rFont val="Calibri"/>
        <family val="2"/>
        <scheme val="minor"/>
      </rPr>
      <t xml:space="preserve"> clipping gebruikt, d.w.z. dat grote afwijkingen van de gemiddelde pixelwaarde niet worden meegenomen in de berekening van het gemiddelde.  Grote afwijkingen kunnen het gevolg zijn van satelliet of vliegtuigsporen in de opname, kosmische stralen in de dark frames en flat frames en het effect van elektrische storingen in de bias frames.  Imperfecties in de CCD of CMOS chip zoals hot pixels en dark pixels kunnen worden weggewerkt door te “ditheren”.  Tussen de opnamen van de stack wordt de camera dan willekeurig verplaatst over ongeveer een 10-tal pixels, steeds in een verschillende richting.</t>
    </r>
  </si>
  <si>
    <t xml:space="preserve">Tenslotte is er nog een contributie van ruis ten gevolge van de kwantisatie in de ADU: </t>
  </si>
  <si>
    <t>Deze kan eventueel worden meegenomen in de berekeningen maar heeft verder weinig invloed op de te nemen beslissingen.</t>
  </si>
  <si>
    <t>sky back-ground subtracted</t>
  </si>
  <si>
    <t>De invloed van de laatste twee bespreek ik verder niet.  Wel is het zo dat de meeste astrofotografen de belichtingstijd van een enkele opname beperken tot 2-8 minuten om zo de invloed van plotselinge volgfouten te kunnen elimineren.  De opname met volgfouten wordt dan weggelaten tijdens het optellen van de stack.</t>
  </si>
  <si>
    <t># in ADU</t>
  </si>
  <si>
    <r>
      <t xml:space="preserve">Number </t>
    </r>
    <r>
      <rPr>
        <u/>
        <sz val="11"/>
        <color theme="1"/>
        <rFont val="Calibri"/>
        <family val="2"/>
        <scheme val="minor"/>
      </rPr>
      <t>bias</t>
    </r>
    <r>
      <rPr>
        <sz val="11"/>
        <color theme="1"/>
        <rFont val="Calibri"/>
        <family val="2"/>
        <scheme val="minor"/>
      </rPr>
      <t xml:space="preserve"> frames</t>
    </r>
  </si>
  <si>
    <r>
      <t>n</t>
    </r>
    <r>
      <rPr>
        <vertAlign val="subscript"/>
        <sz val="11"/>
        <color theme="1"/>
        <rFont val="Calibri"/>
        <family val="2"/>
        <scheme val="minor"/>
      </rPr>
      <t>b</t>
    </r>
  </si>
  <si>
    <t>bias signal [ADU]</t>
  </si>
  <si>
    <t>CCD of CMOS sensor</t>
  </si>
  <si>
    <r>
      <t>Incident Photon Flux [photons/cm</t>
    </r>
    <r>
      <rPr>
        <vertAlign val="superscript"/>
        <sz val="9"/>
        <color theme="1" tint="0.249977111117893"/>
        <rFont val="Calibri"/>
        <family val="2"/>
        <scheme val="minor"/>
      </rPr>
      <t>2</t>
    </r>
    <r>
      <rPr>
        <sz val="9"/>
        <color theme="1" tint="0.249977111117893"/>
        <rFont val="Calibri"/>
        <family val="2"/>
        <scheme val="minor"/>
      </rPr>
      <t>/sec]</t>
    </r>
  </si>
  <si>
    <r>
      <t>x</t>
    </r>
    <r>
      <rPr>
        <vertAlign val="subscript"/>
        <sz val="9"/>
        <color theme="1" tint="0.249977111117893"/>
        <rFont val="Calibri"/>
        <family val="2"/>
        <scheme val="minor"/>
      </rPr>
      <t>pe</t>
    </r>
    <r>
      <rPr>
        <sz val="9"/>
        <color theme="1" tint="0.249977111117893"/>
        <rFont val="Calibri"/>
        <family val="2"/>
        <scheme val="minor"/>
      </rPr>
      <t xml:space="preserve"> [e-/pixel]</t>
    </r>
  </si>
  <si>
    <r>
      <t>x</t>
    </r>
    <r>
      <rPr>
        <vertAlign val="subscript"/>
        <sz val="9"/>
        <color theme="1" tint="0.249977111117893"/>
        <rFont val="Calibri"/>
        <family val="2"/>
        <scheme val="minor"/>
      </rPr>
      <t>d</t>
    </r>
    <r>
      <rPr>
        <sz val="9"/>
        <color theme="1" tint="0.249977111117893"/>
        <rFont val="Calibri"/>
        <family val="2"/>
        <scheme val="minor"/>
      </rPr>
      <t xml:space="preserve"> [e-/pixel]</t>
    </r>
  </si>
  <si>
    <t>Bij het maken van deepsky astrofoto’s zijn er veel factoren die invloed hebben op de kwaliteit van het uiteindelijke resultaat.  Een maat voor die kwaliteit is de zgn. Signaal-Ruisverhouding - S/N (signal to noise ratio).  In dit spreadsheet bereken een schatting van deze Signaal-Ruisverhouding. Vaak zul je compromissen moeten sluiten bij het selecteren van belichtingstijden etc.</t>
  </si>
  <si>
    <t>Nu wordt het tijd om de invloed van de acquisitie van de opnames op de S/N verhouding te bepalen.  Ik beperk me hier tot de “highlights”.</t>
  </si>
  <si>
    <t xml:space="preserve">maar als er beperkte tijd is voor het schieten van ruwe opnamen en dark frames is het optimum </t>
  </si>
  <si>
    <r>
      <t xml:space="preserve">Voor een optimale kalibratie worden ook bias frames genomen (camera op dezelfde temperatuur als bij de dark frames en de ruwe opnamen).  De S/N van de stack van bias frames heeft nauwelijks invloed op de S/N ratio van het resultaat zolang </t>
    </r>
    <r>
      <rPr>
        <sz val="11"/>
        <color theme="1"/>
        <rFont val="Symbol"/>
        <family val="1"/>
        <charset val="2"/>
      </rPr>
      <t>s</t>
    </r>
    <r>
      <rPr>
        <vertAlign val="subscript"/>
        <sz val="11"/>
        <color theme="1"/>
        <rFont val="Calibri"/>
        <family val="2"/>
        <scheme val="minor"/>
      </rPr>
      <t>b</t>
    </r>
    <r>
      <rPr>
        <sz val="11"/>
        <color theme="1"/>
        <rFont val="Calibri"/>
        <family val="2"/>
        <scheme val="minor"/>
      </rPr>
      <t xml:space="preserve"> ruim kleiner is dan 1 ADU. Nu is  </t>
    </r>
    <r>
      <rPr>
        <sz val="11"/>
        <color theme="1"/>
        <rFont val="Symbol"/>
        <family val="1"/>
        <charset val="2"/>
      </rPr>
      <t>s</t>
    </r>
    <r>
      <rPr>
        <vertAlign val="subscript"/>
        <sz val="11"/>
        <color theme="1"/>
        <rFont val="Calibri"/>
        <family val="2"/>
        <scheme val="minor"/>
      </rPr>
      <t>b</t>
    </r>
    <r>
      <rPr>
        <sz val="11"/>
        <color theme="1"/>
        <rFont val="Calibri"/>
        <family val="2"/>
        <scheme val="minor"/>
      </rPr>
      <t xml:space="preserve"> = r / g / √n</t>
    </r>
    <r>
      <rPr>
        <vertAlign val="subscript"/>
        <sz val="11"/>
        <color theme="1"/>
        <rFont val="Calibri"/>
        <family val="2"/>
        <scheme val="minor"/>
      </rPr>
      <t>b</t>
    </r>
    <r>
      <rPr>
        <sz val="11"/>
        <color theme="1"/>
        <rFont val="Calibri"/>
        <family val="2"/>
        <scheme val="minor"/>
      </rPr>
      <t xml:space="preserve"> en vaak voldoen 8 bias frames. </t>
    </r>
  </si>
</sst>
</file>

<file path=xl/styles.xml><?xml version="1.0" encoding="utf-8"?>
<styleSheet xmlns="http://schemas.openxmlformats.org/spreadsheetml/2006/main">
  <numFmts count="4">
    <numFmt numFmtId="164" formatCode="0.00000"/>
    <numFmt numFmtId="165" formatCode="0.0000"/>
    <numFmt numFmtId="166" formatCode="0.0"/>
    <numFmt numFmtId="167" formatCode="&quot;n= &quot;0"/>
  </numFmts>
  <fonts count="16">
    <font>
      <sz val="11"/>
      <color theme="1"/>
      <name val="Calibri"/>
      <family val="2"/>
      <scheme val="minor"/>
    </font>
    <font>
      <sz val="11"/>
      <color theme="1"/>
      <name val="Calibri"/>
      <family val="2"/>
      <scheme val="minor"/>
    </font>
    <font>
      <sz val="11"/>
      <color theme="1"/>
      <name val="Symbol"/>
      <family val="1"/>
      <charset val="2"/>
    </font>
    <font>
      <vertAlign val="superscript"/>
      <sz val="11"/>
      <color theme="1"/>
      <name val="Calibri"/>
      <family val="2"/>
      <scheme val="minor"/>
    </font>
    <font>
      <vertAlign val="subscript"/>
      <sz val="11"/>
      <color theme="1"/>
      <name val="Calibri"/>
      <family val="2"/>
      <scheme val="minor"/>
    </font>
    <font>
      <b/>
      <sz val="11"/>
      <color theme="1"/>
      <name val="Calibri"/>
      <family val="2"/>
      <scheme val="minor"/>
    </font>
    <font>
      <b/>
      <vertAlign val="subscript"/>
      <sz val="11"/>
      <color theme="1"/>
      <name val="Calibri"/>
      <family val="2"/>
      <scheme val="minor"/>
    </font>
    <font>
      <u/>
      <sz val="11"/>
      <color theme="1"/>
      <name val="Calibri"/>
      <family val="2"/>
      <scheme val="minor"/>
    </font>
    <font>
      <sz val="11"/>
      <color theme="0" tint="-0.499984740745262"/>
      <name val="Calibri"/>
      <family val="2"/>
      <scheme val="minor"/>
    </font>
    <font>
      <sz val="10"/>
      <color theme="1"/>
      <name val="Calibri"/>
      <family val="2"/>
      <scheme val="minor"/>
    </font>
    <font>
      <b/>
      <sz val="14"/>
      <color theme="1"/>
      <name val="Calibri"/>
      <family val="2"/>
      <scheme val="minor"/>
    </font>
    <font>
      <i/>
      <sz val="11"/>
      <color theme="1"/>
      <name val="Calibri"/>
      <family val="2"/>
      <scheme val="minor"/>
    </font>
    <font>
      <sz val="7"/>
      <color theme="1"/>
      <name val="Times New Roman"/>
      <family val="1"/>
    </font>
    <font>
      <sz val="9"/>
      <color theme="1" tint="0.249977111117893"/>
      <name val="Calibri"/>
      <family val="2"/>
      <scheme val="minor"/>
    </font>
    <font>
      <vertAlign val="superscript"/>
      <sz val="9"/>
      <color theme="1" tint="0.249977111117893"/>
      <name val="Calibri"/>
      <family val="2"/>
      <scheme val="minor"/>
    </font>
    <font>
      <vertAlign val="subscript"/>
      <sz val="9"/>
      <color theme="1" tint="0.249977111117893"/>
      <name val="Calibri"/>
      <family val="2"/>
      <scheme val="minor"/>
    </font>
  </fonts>
  <fills count="7">
    <fill>
      <patternFill patternType="none"/>
    </fill>
    <fill>
      <patternFill patternType="gray125"/>
    </fill>
    <fill>
      <patternFill patternType="solid">
        <fgColor theme="6" tint="0.39997558519241921"/>
        <bgColor indexed="64"/>
      </patternFill>
    </fill>
    <fill>
      <patternFill patternType="solid">
        <fgColor rgb="FFFFFF66"/>
        <bgColor indexed="64"/>
      </patternFill>
    </fill>
    <fill>
      <patternFill patternType="solid">
        <fgColor theme="0"/>
        <bgColor indexed="64"/>
      </patternFill>
    </fill>
    <fill>
      <patternFill patternType="solid">
        <fgColor theme="4" tint="0.59999389629810485"/>
        <bgColor indexed="64"/>
      </patternFill>
    </fill>
    <fill>
      <patternFill patternType="solid">
        <fgColor theme="5" tint="0.59999389629810485"/>
        <bgColor indexed="64"/>
      </patternFill>
    </fill>
  </fills>
  <borders count="28">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72">
    <xf numFmtId="0" fontId="0" fillId="0" borderId="0" xfId="0"/>
    <xf numFmtId="0" fontId="0" fillId="0" borderId="0" xfId="0" applyAlignment="1">
      <alignment horizontal="center"/>
    </xf>
    <xf numFmtId="0" fontId="0" fillId="0" borderId="18" xfId="0" applyBorder="1"/>
    <xf numFmtId="0" fontId="0" fillId="0" borderId="19" xfId="0" applyBorder="1" applyAlignment="1">
      <alignment horizontal="center"/>
    </xf>
    <xf numFmtId="0" fontId="0" fillId="0" borderId="20" xfId="0" applyBorder="1"/>
    <xf numFmtId="0" fontId="0" fillId="0" borderId="19" xfId="0" applyBorder="1"/>
    <xf numFmtId="166" fontId="0" fillId="0" borderId="19" xfId="0" applyNumberFormat="1" applyBorder="1"/>
    <xf numFmtId="0" fontId="0" fillId="0" borderId="21" xfId="0" applyBorder="1"/>
    <xf numFmtId="0" fontId="0" fillId="0" borderId="22" xfId="0" applyBorder="1"/>
    <xf numFmtId="0" fontId="8" fillId="2" borderId="4" xfId="0" applyFont="1" applyFill="1" applyBorder="1" applyProtection="1">
      <protection locked="0"/>
    </xf>
    <xf numFmtId="0" fontId="0" fillId="2" borderId="4" xfId="0" applyFill="1" applyBorder="1" applyProtection="1">
      <protection locked="0"/>
    </xf>
    <xf numFmtId="0" fontId="8" fillId="2" borderId="6" xfId="0" applyFont="1" applyFill="1" applyBorder="1" applyProtection="1">
      <protection locked="0"/>
    </xf>
    <xf numFmtId="0" fontId="0" fillId="2" borderId="6" xfId="0" applyFill="1" applyBorder="1" applyProtection="1">
      <protection locked="0"/>
    </xf>
    <xf numFmtId="9" fontId="0" fillId="2" borderId="8" xfId="0" applyNumberFormat="1" applyFill="1" applyBorder="1" applyProtection="1">
      <protection locked="0"/>
    </xf>
    <xf numFmtId="9" fontId="0" fillId="2" borderId="8" xfId="1" applyFont="1" applyFill="1" applyBorder="1" applyProtection="1">
      <protection locked="0"/>
    </xf>
    <xf numFmtId="0" fontId="0" fillId="2" borderId="3" xfId="0" applyFill="1" applyBorder="1" applyAlignment="1" applyProtection="1">
      <alignment horizontal="center"/>
      <protection locked="0"/>
    </xf>
    <xf numFmtId="0" fontId="0" fillId="2" borderId="13" xfId="0" applyFill="1" applyBorder="1" applyAlignment="1" applyProtection="1">
      <alignment horizontal="center"/>
      <protection locked="0"/>
    </xf>
    <xf numFmtId="0" fontId="0" fillId="0" borderId="0" xfId="0" applyProtection="1"/>
    <xf numFmtId="0" fontId="0" fillId="0" borderId="0" xfId="0" applyAlignment="1" applyProtection="1">
      <alignment horizontal="center"/>
    </xf>
    <xf numFmtId="0" fontId="0" fillId="2" borderId="0" xfId="0" applyFill="1" applyAlignment="1" applyProtection="1">
      <alignment horizontal="center"/>
    </xf>
    <xf numFmtId="0" fontId="0" fillId="3" borderId="0" xfId="0" applyFill="1" applyAlignment="1" applyProtection="1">
      <alignment horizontal="center"/>
    </xf>
    <xf numFmtId="0" fontId="5" fillId="0" borderId="0" xfId="0" applyFont="1" applyProtection="1"/>
    <xf numFmtId="0" fontId="0" fillId="0" borderId="2" xfId="0" applyBorder="1" applyProtection="1"/>
    <xf numFmtId="0" fontId="0" fillId="0" borderId="3" xfId="0" applyBorder="1" applyAlignment="1" applyProtection="1">
      <alignment horizontal="center"/>
    </xf>
    <xf numFmtId="0" fontId="0" fillId="0" borderId="3" xfId="0" applyBorder="1" applyProtection="1"/>
    <xf numFmtId="0" fontId="0" fillId="0" borderId="5" xfId="0" applyBorder="1" applyProtection="1"/>
    <xf numFmtId="0" fontId="0" fillId="0" borderId="0" xfId="0" applyBorder="1" applyAlignment="1" applyProtection="1">
      <alignment horizontal="center"/>
    </xf>
    <xf numFmtId="0" fontId="0" fillId="0" borderId="0" xfId="0" applyBorder="1" applyProtection="1"/>
    <xf numFmtId="0" fontId="0" fillId="0" borderId="7" xfId="0" applyBorder="1" applyProtection="1"/>
    <xf numFmtId="0" fontId="0" fillId="0" borderId="1" xfId="0" applyBorder="1" applyProtection="1"/>
    <xf numFmtId="0" fontId="0" fillId="0" borderId="8" xfId="0" applyBorder="1" applyProtection="1"/>
    <xf numFmtId="0" fontId="0" fillId="0" borderId="6" xfId="0" applyBorder="1" applyProtection="1"/>
    <xf numFmtId="0" fontId="0" fillId="0" borderId="6" xfId="0" applyFill="1" applyBorder="1" applyProtection="1"/>
    <xf numFmtId="0" fontId="0" fillId="0" borderId="1" xfId="0" applyBorder="1" applyAlignment="1" applyProtection="1">
      <alignment horizontal="center"/>
    </xf>
    <xf numFmtId="0" fontId="2" fillId="3" borderId="0" xfId="0" applyFont="1" applyFill="1" applyAlignment="1" applyProtection="1">
      <alignment horizontal="center"/>
    </xf>
    <xf numFmtId="166" fontId="0" fillId="3" borderId="0" xfId="0" applyNumberFormat="1" applyFill="1" applyAlignment="1" applyProtection="1">
      <alignment horizontal="center"/>
    </xf>
    <xf numFmtId="166" fontId="0" fillId="0" borderId="4" xfId="0" applyNumberFormat="1" applyBorder="1" applyAlignment="1" applyProtection="1">
      <alignment horizontal="center"/>
    </xf>
    <xf numFmtId="0" fontId="0" fillId="0" borderId="4" xfId="0" applyBorder="1" applyAlignment="1" applyProtection="1">
      <alignment horizontal="center"/>
    </xf>
    <xf numFmtId="2" fontId="0" fillId="0" borderId="6" xfId="0" applyNumberFormat="1" applyBorder="1" applyAlignment="1" applyProtection="1">
      <alignment horizontal="center"/>
    </xf>
    <xf numFmtId="0" fontId="0" fillId="0" borderId="7" xfId="0" quotePrefix="1" applyBorder="1" applyProtection="1"/>
    <xf numFmtId="167" fontId="0" fillId="0" borderId="1" xfId="0" applyNumberFormat="1" applyBorder="1" applyAlignment="1" applyProtection="1">
      <alignment horizontal="center"/>
    </xf>
    <xf numFmtId="2" fontId="0" fillId="0" borderId="8" xfId="0" applyNumberFormat="1" applyBorder="1" applyAlignment="1" applyProtection="1">
      <alignment horizontal="center"/>
    </xf>
    <xf numFmtId="1" fontId="0" fillId="0" borderId="8" xfId="0" applyNumberFormat="1" applyBorder="1" applyAlignment="1" applyProtection="1">
      <alignment horizontal="center"/>
    </xf>
    <xf numFmtId="0" fontId="0" fillId="0" borderId="9" xfId="0" applyBorder="1" applyProtection="1"/>
    <xf numFmtId="0" fontId="0" fillId="0" borderId="10" xfId="0" applyBorder="1" applyAlignment="1" applyProtection="1">
      <alignment horizontal="center"/>
    </xf>
    <xf numFmtId="0" fontId="0" fillId="0" borderId="11" xfId="0" applyBorder="1" applyAlignment="1" applyProtection="1">
      <alignment horizontal="center"/>
    </xf>
    <xf numFmtId="0" fontId="0" fillId="0" borderId="12" xfId="0" applyBorder="1" applyProtection="1"/>
    <xf numFmtId="0" fontId="0" fillId="0" borderId="14" xfId="0" applyBorder="1" applyProtection="1"/>
    <xf numFmtId="166" fontId="0" fillId="0" borderId="3" xfId="0" applyNumberFormat="1" applyBorder="1" applyAlignment="1" applyProtection="1">
      <alignment horizontal="center"/>
    </xf>
    <xf numFmtId="166" fontId="0" fillId="0" borderId="13" xfId="0" applyNumberFormat="1" applyBorder="1" applyAlignment="1" applyProtection="1">
      <alignment horizontal="center"/>
    </xf>
    <xf numFmtId="166" fontId="0" fillId="0" borderId="0" xfId="0" applyNumberFormat="1" applyBorder="1" applyAlignment="1" applyProtection="1">
      <alignment horizontal="center"/>
    </xf>
    <xf numFmtId="166" fontId="0" fillId="0" borderId="15" xfId="0" applyNumberFormat="1" applyBorder="1" applyAlignment="1" applyProtection="1">
      <alignment horizontal="center"/>
    </xf>
    <xf numFmtId="2" fontId="0" fillId="0" borderId="1" xfId="0" applyNumberFormat="1" applyBorder="1" applyAlignment="1" applyProtection="1">
      <alignment horizontal="center"/>
    </xf>
    <xf numFmtId="2" fontId="0" fillId="0" borderId="17" xfId="0" applyNumberFormat="1" applyBorder="1" applyAlignment="1" applyProtection="1">
      <alignment horizontal="center"/>
    </xf>
    <xf numFmtId="2" fontId="0" fillId="0" borderId="0" xfId="0" applyNumberFormat="1" applyBorder="1" applyAlignment="1" applyProtection="1">
      <alignment horizontal="center"/>
    </xf>
    <xf numFmtId="2" fontId="0" fillId="0" borderId="15" xfId="0" applyNumberFormat="1" applyBorder="1" applyAlignment="1" applyProtection="1">
      <alignment horizontal="center"/>
    </xf>
    <xf numFmtId="0" fontId="0" fillId="0" borderId="16" xfId="0" quotePrefix="1" applyBorder="1" applyProtection="1"/>
    <xf numFmtId="0" fontId="0" fillId="0" borderId="14" xfId="0" quotePrefix="1" applyBorder="1" applyProtection="1"/>
    <xf numFmtId="2" fontId="0" fillId="0" borderId="5" xfId="0" applyNumberFormat="1" applyBorder="1" applyProtection="1"/>
    <xf numFmtId="2" fontId="0" fillId="0" borderId="0" xfId="0" applyNumberFormat="1" applyBorder="1" applyProtection="1"/>
    <xf numFmtId="2" fontId="0" fillId="0" borderId="6" xfId="0" applyNumberFormat="1" applyBorder="1" applyProtection="1"/>
    <xf numFmtId="0" fontId="0" fillId="0" borderId="15" xfId="0" applyBorder="1" applyProtection="1"/>
    <xf numFmtId="1" fontId="0" fillId="0" borderId="5" xfId="0" applyNumberFormat="1" applyBorder="1" applyProtection="1"/>
    <xf numFmtId="1" fontId="0" fillId="0" borderId="0" xfId="0" applyNumberFormat="1" applyBorder="1" applyAlignment="1" applyProtection="1">
      <alignment horizontal="center"/>
    </xf>
    <xf numFmtId="1" fontId="0" fillId="0" borderId="0" xfId="0" applyNumberFormat="1" applyBorder="1" applyProtection="1"/>
    <xf numFmtId="1" fontId="0" fillId="0" borderId="6" xfId="0" applyNumberFormat="1" applyBorder="1" applyProtection="1"/>
    <xf numFmtId="166" fontId="0" fillId="0" borderId="1" xfId="0" applyNumberFormat="1" applyBorder="1" applyAlignment="1" applyProtection="1">
      <alignment horizontal="center"/>
    </xf>
    <xf numFmtId="166" fontId="0" fillId="0" borderId="17" xfId="0" applyNumberFormat="1" applyBorder="1" applyAlignment="1" applyProtection="1">
      <alignment horizontal="center"/>
    </xf>
    <xf numFmtId="0" fontId="5" fillId="3" borderId="12" xfId="0" applyFont="1" applyFill="1" applyBorder="1" applyProtection="1"/>
    <xf numFmtId="0" fontId="0" fillId="3" borderId="2" xfId="0" applyFill="1" applyBorder="1" applyProtection="1"/>
    <xf numFmtId="0" fontId="0" fillId="3" borderId="3" xfId="0" applyFill="1" applyBorder="1" applyProtection="1"/>
    <xf numFmtId="166" fontId="0" fillId="3" borderId="3" xfId="0" applyNumberFormat="1" applyFill="1" applyBorder="1" applyAlignment="1" applyProtection="1">
      <alignment horizontal="center"/>
    </xf>
    <xf numFmtId="166" fontId="0" fillId="3" borderId="13" xfId="0" applyNumberFormat="1" applyFill="1" applyBorder="1" applyAlignment="1" applyProtection="1">
      <alignment horizontal="center"/>
    </xf>
    <xf numFmtId="0" fontId="5" fillId="3" borderId="16" xfId="0" quotePrefix="1" applyFont="1" applyFill="1" applyBorder="1" applyProtection="1"/>
    <xf numFmtId="0" fontId="0" fillId="3" borderId="7" xfId="0" applyFill="1" applyBorder="1" applyProtection="1"/>
    <xf numFmtId="0" fontId="0" fillId="3" borderId="1" xfId="0" applyFill="1" applyBorder="1" applyProtection="1"/>
    <xf numFmtId="166" fontId="0" fillId="3" borderId="1" xfId="0" applyNumberFormat="1" applyFill="1" applyBorder="1" applyAlignment="1" applyProtection="1">
      <alignment horizontal="center"/>
    </xf>
    <xf numFmtId="166" fontId="0" fillId="3" borderId="17" xfId="0" applyNumberFormat="1" applyFill="1" applyBorder="1" applyAlignment="1" applyProtection="1">
      <alignment horizontal="center"/>
    </xf>
    <xf numFmtId="0" fontId="0" fillId="3" borderId="14" xfId="0" applyFill="1" applyBorder="1" applyProtection="1"/>
    <xf numFmtId="0" fontId="0" fillId="3" borderId="0" xfId="0" applyFill="1" applyBorder="1" applyAlignment="1" applyProtection="1">
      <alignment horizontal="center"/>
    </xf>
    <xf numFmtId="0" fontId="0" fillId="3" borderId="5" xfId="0" applyFill="1" applyBorder="1" applyProtection="1"/>
    <xf numFmtId="0" fontId="0" fillId="3" borderId="0" xfId="0" applyFill="1" applyBorder="1" applyProtection="1"/>
    <xf numFmtId="2" fontId="0" fillId="3" borderId="0" xfId="0" applyNumberFormat="1" applyFill="1" applyBorder="1" applyAlignment="1" applyProtection="1">
      <alignment horizontal="center"/>
    </xf>
    <xf numFmtId="2" fontId="0" fillId="3" borderId="15" xfId="0" applyNumberFormat="1" applyFill="1" applyBorder="1" applyAlignment="1" applyProtection="1">
      <alignment horizontal="center"/>
    </xf>
    <xf numFmtId="0" fontId="10" fillId="0" borderId="0" xfId="0" applyFont="1"/>
    <xf numFmtId="0" fontId="0" fillId="0" borderId="0" xfId="0" applyAlignment="1">
      <alignment horizontal="justify"/>
    </xf>
    <xf numFmtId="0" fontId="11" fillId="0" borderId="0" xfId="0" applyFont="1"/>
    <xf numFmtId="0" fontId="2" fillId="0" borderId="0" xfId="0" applyFont="1" applyAlignment="1">
      <alignment horizontal="justify"/>
    </xf>
    <xf numFmtId="166" fontId="0" fillId="0" borderId="6" xfId="0" applyNumberFormat="1" applyBorder="1" applyAlignment="1" applyProtection="1">
      <alignment horizontal="center"/>
    </xf>
    <xf numFmtId="0" fontId="5" fillId="4" borderId="23" xfId="0" quotePrefix="1" applyFont="1" applyFill="1" applyBorder="1" applyProtection="1"/>
    <xf numFmtId="0" fontId="0" fillId="4" borderId="24" xfId="0" applyFill="1" applyBorder="1" applyAlignment="1" applyProtection="1">
      <alignment horizontal="center"/>
    </xf>
    <xf numFmtId="0" fontId="0" fillId="4" borderId="25" xfId="0" applyFill="1" applyBorder="1" applyProtection="1"/>
    <xf numFmtId="0" fontId="0" fillId="4" borderId="24" xfId="0" applyFill="1" applyBorder="1" applyProtection="1"/>
    <xf numFmtId="166" fontId="0" fillId="4" borderId="24" xfId="0" applyNumberFormat="1" applyFill="1" applyBorder="1" applyAlignment="1" applyProtection="1">
      <alignment horizontal="center"/>
    </xf>
    <xf numFmtId="166" fontId="0" fillId="4" borderId="26" xfId="0" applyNumberFormat="1" applyFill="1" applyBorder="1" applyAlignment="1" applyProtection="1">
      <alignment horizontal="center"/>
    </xf>
    <xf numFmtId="166" fontId="0" fillId="4" borderId="27" xfId="0" applyNumberFormat="1" applyFill="1" applyBorder="1" applyAlignment="1" applyProtection="1">
      <alignment horizontal="center"/>
    </xf>
    <xf numFmtId="0" fontId="0" fillId="0" borderId="3" xfId="0" applyBorder="1"/>
    <xf numFmtId="0" fontId="0" fillId="0" borderId="0" xfId="0" applyBorder="1"/>
    <xf numFmtId="0" fontId="0" fillId="0" borderId="1" xfId="0" applyBorder="1"/>
    <xf numFmtId="0" fontId="0" fillId="2" borderId="0" xfId="0" applyFill="1" applyBorder="1" applyAlignment="1" applyProtection="1">
      <alignment horizontal="right"/>
      <protection locked="0"/>
    </xf>
    <xf numFmtId="0" fontId="0" fillId="0" borderId="25" xfId="0" applyFill="1" applyBorder="1" applyProtection="1"/>
    <xf numFmtId="0" fontId="0" fillId="0" borderId="24" xfId="0" applyBorder="1"/>
    <xf numFmtId="0" fontId="0" fillId="0" borderId="24" xfId="0" applyBorder="1" applyProtection="1"/>
    <xf numFmtId="2" fontId="0" fillId="3" borderId="26" xfId="0" applyNumberFormat="1" applyFill="1" applyBorder="1" applyProtection="1"/>
    <xf numFmtId="0" fontId="13" fillId="0" borderId="14" xfId="0" applyFont="1" applyBorder="1" applyProtection="1"/>
    <xf numFmtId="0" fontId="13" fillId="0" borderId="0" xfId="0" applyFont="1" applyBorder="1" applyAlignment="1" applyProtection="1">
      <alignment horizontal="center"/>
    </xf>
    <xf numFmtId="164" fontId="13" fillId="0" borderId="0" xfId="0" applyNumberFormat="1" applyFont="1" applyBorder="1" applyAlignment="1" applyProtection="1">
      <alignment horizontal="center"/>
    </xf>
    <xf numFmtId="165" fontId="13" fillId="0" borderId="15" xfId="0" applyNumberFormat="1" applyFont="1" applyBorder="1" applyAlignment="1" applyProtection="1">
      <alignment horizontal="center"/>
    </xf>
    <xf numFmtId="0" fontId="13" fillId="0" borderId="16" xfId="0" applyFont="1" applyBorder="1" applyProtection="1"/>
    <xf numFmtId="0" fontId="13" fillId="0" borderId="1" xfId="0" applyFont="1" applyBorder="1" applyAlignment="1" applyProtection="1">
      <alignment horizontal="center"/>
    </xf>
    <xf numFmtId="165" fontId="13" fillId="0" borderId="1" xfId="0" applyNumberFormat="1" applyFont="1" applyBorder="1" applyAlignment="1" applyProtection="1">
      <alignment horizontal="center"/>
    </xf>
    <xf numFmtId="0" fontId="13" fillId="0" borderId="12" xfId="0" applyFont="1" applyBorder="1" applyProtection="1"/>
    <xf numFmtId="0" fontId="13" fillId="0" borderId="3" xfId="0" applyFont="1" applyBorder="1" applyAlignment="1" applyProtection="1">
      <alignment horizontal="center"/>
    </xf>
    <xf numFmtId="166" fontId="13" fillId="0" borderId="2" xfId="0" applyNumberFormat="1" applyFont="1" applyBorder="1" applyProtection="1"/>
    <xf numFmtId="0" fontId="13" fillId="0" borderId="4" xfId="0" applyFont="1" applyBorder="1" applyProtection="1"/>
    <xf numFmtId="166" fontId="13" fillId="0" borderId="3" xfId="0" applyNumberFormat="1" applyFont="1" applyBorder="1" applyAlignment="1" applyProtection="1">
      <alignment horizontal="center"/>
    </xf>
    <xf numFmtId="166" fontId="13" fillId="0" borderId="13" xfId="0" applyNumberFormat="1" applyFont="1" applyBorder="1" applyAlignment="1" applyProtection="1">
      <alignment horizontal="center"/>
    </xf>
    <xf numFmtId="166" fontId="13" fillId="0" borderId="0" xfId="0" applyNumberFormat="1" applyFont="1" applyBorder="1" applyAlignment="1" applyProtection="1">
      <alignment horizontal="center"/>
    </xf>
    <xf numFmtId="166" fontId="13" fillId="0" borderId="15" xfId="0" applyNumberFormat="1" applyFont="1" applyBorder="1" applyAlignment="1" applyProtection="1">
      <alignment horizontal="center"/>
    </xf>
    <xf numFmtId="2" fontId="13" fillId="0" borderId="1" xfId="0" applyNumberFormat="1" applyFont="1" applyBorder="1" applyAlignment="1" applyProtection="1">
      <alignment horizontal="center"/>
    </xf>
    <xf numFmtId="2" fontId="13" fillId="0" borderId="17" xfId="0" applyNumberFormat="1" applyFont="1" applyBorder="1" applyAlignment="1" applyProtection="1">
      <alignment horizontal="center"/>
    </xf>
    <xf numFmtId="0" fontId="9" fillId="3" borderId="4" xfId="0" applyFont="1" applyFill="1" applyBorder="1" applyAlignment="1" applyProtection="1">
      <alignment horizontal="center" vertical="center" wrapText="1"/>
    </xf>
    <xf numFmtId="0" fontId="9" fillId="3" borderId="6" xfId="0" applyFont="1" applyFill="1" applyBorder="1" applyAlignment="1" applyProtection="1">
      <alignment horizontal="center" vertical="center" wrapText="1"/>
    </xf>
    <xf numFmtId="0" fontId="9" fillId="3" borderId="8" xfId="0" applyFont="1" applyFill="1" applyBorder="1" applyAlignment="1" applyProtection="1">
      <alignment horizontal="center" vertical="center" wrapText="1"/>
    </xf>
    <xf numFmtId="166" fontId="0" fillId="0" borderId="7" xfId="0" applyNumberFormat="1" applyBorder="1" applyAlignment="1" applyProtection="1">
      <alignment horizontal="center"/>
    </xf>
    <xf numFmtId="166" fontId="0" fillId="0" borderId="8" xfId="0" applyNumberFormat="1" applyBorder="1" applyAlignment="1" applyProtection="1">
      <alignment horizontal="center"/>
    </xf>
    <xf numFmtId="166" fontId="0" fillId="3" borderId="3" xfId="0" applyNumberFormat="1" applyFill="1" applyBorder="1" applyAlignment="1" applyProtection="1">
      <alignment horizontal="center"/>
    </xf>
    <xf numFmtId="166" fontId="0" fillId="3" borderId="4" xfId="0" applyNumberFormat="1" applyFill="1" applyBorder="1" applyAlignment="1" applyProtection="1">
      <alignment horizontal="center"/>
    </xf>
    <xf numFmtId="166" fontId="0" fillId="0" borderId="0" xfId="0" applyNumberFormat="1" applyBorder="1" applyAlignment="1" applyProtection="1">
      <alignment horizontal="center"/>
    </xf>
    <xf numFmtId="166" fontId="0" fillId="0" borderId="6" xfId="0" applyNumberFormat="1" applyBorder="1" applyAlignment="1" applyProtection="1">
      <alignment horizontal="center"/>
    </xf>
    <xf numFmtId="166" fontId="0" fillId="3" borderId="1" xfId="0" applyNumberFormat="1" applyFill="1" applyBorder="1" applyAlignment="1" applyProtection="1">
      <alignment horizontal="center"/>
    </xf>
    <xf numFmtId="166" fontId="0" fillId="3" borderId="8" xfId="0" applyNumberFormat="1" applyFill="1" applyBorder="1" applyAlignment="1" applyProtection="1">
      <alignment horizontal="center"/>
    </xf>
    <xf numFmtId="0" fontId="9" fillId="2" borderId="4" xfId="0" applyFont="1" applyFill="1" applyBorder="1" applyAlignment="1" applyProtection="1">
      <alignment horizontal="center" vertical="center" wrapText="1"/>
    </xf>
    <xf numFmtId="0" fontId="9" fillId="2" borderId="6"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2" fontId="0" fillId="3" borderId="0" xfId="0" applyNumberFormat="1" applyFill="1" applyBorder="1" applyAlignment="1" applyProtection="1">
      <alignment horizontal="center"/>
    </xf>
    <xf numFmtId="2" fontId="0" fillId="3" borderId="6" xfId="0" applyNumberFormat="1" applyFill="1" applyBorder="1" applyAlignment="1" applyProtection="1">
      <alignment horizontal="center"/>
    </xf>
    <xf numFmtId="166" fontId="0" fillId="0" borderId="1" xfId="0" applyNumberFormat="1" applyBorder="1" applyAlignment="1" applyProtection="1">
      <alignment horizontal="center"/>
    </xf>
    <xf numFmtId="166" fontId="0" fillId="0" borderId="3" xfId="0" applyNumberFormat="1" applyBorder="1" applyAlignment="1" applyProtection="1">
      <alignment horizontal="center"/>
    </xf>
    <xf numFmtId="166" fontId="0" fillId="0" borderId="4" xfId="0" applyNumberFormat="1" applyBorder="1" applyAlignment="1" applyProtection="1">
      <alignment horizontal="center"/>
    </xf>
    <xf numFmtId="2" fontId="0" fillId="0" borderId="0" xfId="0" applyNumberFormat="1" applyBorder="1" applyAlignment="1" applyProtection="1">
      <alignment horizontal="center"/>
    </xf>
    <xf numFmtId="2" fontId="0" fillId="0" borderId="6" xfId="0" applyNumberFormat="1" applyBorder="1" applyAlignment="1" applyProtection="1">
      <alignment horizontal="center"/>
    </xf>
    <xf numFmtId="2" fontId="0" fillId="0" borderId="1" xfId="0" applyNumberFormat="1" applyBorder="1" applyAlignment="1" applyProtection="1">
      <alignment horizontal="center"/>
    </xf>
    <xf numFmtId="2" fontId="0" fillId="0" borderId="8" xfId="0" applyNumberFormat="1" applyBorder="1" applyAlignment="1" applyProtection="1">
      <alignment horizontal="center"/>
    </xf>
    <xf numFmtId="2" fontId="0" fillId="0" borderId="7" xfId="0" applyNumberFormat="1" applyBorder="1" applyAlignment="1" applyProtection="1">
      <alignment horizontal="center"/>
    </xf>
    <xf numFmtId="166" fontId="0" fillId="0" borderId="2" xfId="0" applyNumberFormat="1" applyBorder="1" applyAlignment="1" applyProtection="1">
      <alignment horizontal="center"/>
    </xf>
    <xf numFmtId="166" fontId="0" fillId="0" borderId="5" xfId="0" applyNumberFormat="1" applyBorder="1" applyAlignment="1" applyProtection="1">
      <alignment horizontal="center"/>
    </xf>
    <xf numFmtId="0" fontId="0" fillId="2" borderId="2"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3" xfId="0" applyFill="1" applyBorder="1" applyAlignment="1" applyProtection="1">
      <alignment horizontal="center"/>
      <protection locked="0"/>
    </xf>
    <xf numFmtId="0" fontId="0" fillId="0" borderId="10" xfId="0" applyBorder="1" applyAlignment="1" applyProtection="1">
      <alignment horizontal="center"/>
    </xf>
    <xf numFmtId="165" fontId="13" fillId="0" borderId="7" xfId="0" applyNumberFormat="1" applyFont="1" applyBorder="1" applyAlignment="1" applyProtection="1">
      <alignment horizontal="center"/>
    </xf>
    <xf numFmtId="165" fontId="13" fillId="0" borderId="8" xfId="0" applyNumberFormat="1" applyFont="1" applyBorder="1" applyAlignment="1" applyProtection="1">
      <alignment horizontal="center"/>
    </xf>
    <xf numFmtId="165" fontId="13" fillId="0" borderId="1" xfId="0" applyNumberFormat="1" applyFont="1" applyBorder="1" applyAlignment="1" applyProtection="1">
      <alignment horizontal="center"/>
    </xf>
    <xf numFmtId="164" fontId="13" fillId="0" borderId="0" xfId="0" applyNumberFormat="1" applyFont="1" applyBorder="1" applyAlignment="1" applyProtection="1">
      <alignment horizontal="center"/>
    </xf>
    <xf numFmtId="164" fontId="13" fillId="0" borderId="6" xfId="0" applyNumberFormat="1" applyFont="1" applyBorder="1" applyAlignment="1" applyProtection="1">
      <alignment horizontal="center"/>
    </xf>
    <xf numFmtId="164" fontId="13" fillId="0" borderId="5" xfId="0" applyNumberFormat="1" applyFont="1" applyBorder="1" applyAlignment="1" applyProtection="1">
      <alignment horizontal="center"/>
    </xf>
    <xf numFmtId="0" fontId="9" fillId="6" borderId="4" xfId="0" applyFont="1" applyFill="1" applyBorder="1" applyAlignment="1" applyProtection="1">
      <alignment horizontal="center" vertical="center" wrapText="1"/>
    </xf>
    <xf numFmtId="0" fontId="9" fillId="6" borderId="6" xfId="0" applyFont="1" applyFill="1" applyBorder="1" applyAlignment="1" applyProtection="1">
      <alignment horizontal="center" vertical="center" wrapText="1"/>
    </xf>
    <xf numFmtId="0" fontId="9" fillId="6" borderId="8" xfId="0" applyFont="1" applyFill="1" applyBorder="1" applyAlignment="1" applyProtection="1">
      <alignment horizontal="center" vertical="center" wrapText="1"/>
    </xf>
    <xf numFmtId="0" fontId="9" fillId="5" borderId="4" xfId="0" applyFont="1" applyFill="1" applyBorder="1" applyAlignment="1" applyProtection="1">
      <alignment horizontal="center" vertical="center" wrapText="1"/>
    </xf>
    <xf numFmtId="0" fontId="9" fillId="5" borderId="6" xfId="0" applyFont="1" applyFill="1" applyBorder="1" applyAlignment="1" applyProtection="1">
      <alignment horizontal="center" vertical="center" wrapText="1"/>
    </xf>
    <xf numFmtId="0" fontId="9" fillId="5" borderId="8" xfId="0" applyFont="1" applyFill="1" applyBorder="1" applyAlignment="1" applyProtection="1">
      <alignment horizontal="center" vertical="center" wrapText="1"/>
    </xf>
    <xf numFmtId="166" fontId="13" fillId="0" borderId="3" xfId="0" applyNumberFormat="1" applyFont="1" applyBorder="1" applyAlignment="1" applyProtection="1">
      <alignment horizontal="center"/>
    </xf>
    <xf numFmtId="166" fontId="13" fillId="0" borderId="4" xfId="0" applyNumberFormat="1" applyFont="1" applyBorder="1" applyAlignment="1" applyProtection="1">
      <alignment horizontal="center"/>
    </xf>
    <xf numFmtId="166" fontId="13" fillId="0" borderId="0" xfId="0" applyNumberFormat="1" applyFont="1" applyBorder="1" applyAlignment="1" applyProtection="1">
      <alignment horizontal="center"/>
    </xf>
    <xf numFmtId="166" fontId="13" fillId="0" borderId="6" xfId="0" applyNumberFormat="1" applyFont="1" applyBorder="1" applyAlignment="1" applyProtection="1">
      <alignment horizontal="center"/>
    </xf>
    <xf numFmtId="2" fontId="13" fillId="0" borderId="1" xfId="0" applyNumberFormat="1" applyFont="1" applyBorder="1" applyAlignment="1" applyProtection="1">
      <alignment horizontal="center"/>
    </xf>
    <xf numFmtId="2" fontId="13" fillId="0" borderId="8" xfId="0" applyNumberFormat="1" applyFont="1" applyBorder="1" applyAlignment="1" applyProtection="1">
      <alignment horizontal="center"/>
    </xf>
    <xf numFmtId="166" fontId="13" fillId="0" borderId="5" xfId="0" applyNumberFormat="1" applyFont="1" applyBorder="1" applyAlignment="1" applyProtection="1">
      <alignment horizontal="center"/>
    </xf>
    <xf numFmtId="2" fontId="13" fillId="0" borderId="7" xfId="0" applyNumberFormat="1" applyFont="1" applyBorder="1" applyAlignment="1" applyProtection="1">
      <alignment horizontal="center"/>
    </xf>
    <xf numFmtId="2" fontId="0" fillId="0" borderId="5" xfId="0" applyNumberFormat="1" applyBorder="1" applyAlignment="1" applyProtection="1">
      <alignment horizontal="center"/>
    </xf>
  </cellXfs>
  <cellStyles count="2">
    <cellStyle name="Normal" xfId="0" builtinId="0"/>
    <cellStyle name="Percent" xfId="1" builtinId="5"/>
  </cellStyles>
  <dxfs count="0"/>
  <tableStyles count="0" defaultTableStyle="TableStyleMedium9" defaultPivotStyle="PivotStyleLight16"/>
  <colors>
    <mruColors>
      <color rgb="FFFFFF66"/>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emf"/><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0</xdr:col>
      <xdr:colOff>57150</xdr:colOff>
      <xdr:row>33</xdr:row>
      <xdr:rowOff>9525</xdr:rowOff>
    </xdr:from>
    <xdr:to>
      <xdr:col>0</xdr:col>
      <xdr:colOff>3057525</xdr:colOff>
      <xdr:row>33</xdr:row>
      <xdr:rowOff>323850</xdr:rowOff>
    </xdr:to>
    <xdr:pic>
      <xdr:nvPicPr>
        <xdr:cNvPr id="1026" name="Picture 2"/>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a:stretch>
          <a:fillRect/>
        </a:stretch>
      </xdr:blipFill>
      <xdr:spPr bwMode="auto">
        <a:xfrm>
          <a:off x="57150" y="9667875"/>
          <a:ext cx="3000375" cy="314325"/>
        </a:xfrm>
        <a:prstGeom prst="rect">
          <a:avLst/>
        </a:prstGeom>
        <a:noFill/>
      </xdr:spPr>
    </xdr:pic>
    <xdr:clientData/>
  </xdr:twoCellAnchor>
  <xdr:twoCellAnchor>
    <xdr:from>
      <xdr:col>0</xdr:col>
      <xdr:colOff>28575</xdr:colOff>
      <xdr:row>39</xdr:row>
      <xdr:rowOff>0</xdr:rowOff>
    </xdr:from>
    <xdr:to>
      <xdr:col>0</xdr:col>
      <xdr:colOff>3324225</xdr:colOff>
      <xdr:row>39</xdr:row>
      <xdr:rowOff>361950</xdr:rowOff>
    </xdr:to>
    <xdr:pic>
      <xdr:nvPicPr>
        <xdr:cNvPr id="1027" name="Picture 3"/>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blip>
        <a:srcRect/>
        <a:stretch>
          <a:fillRect/>
        </a:stretch>
      </xdr:blipFill>
      <xdr:spPr bwMode="auto">
        <a:xfrm>
          <a:off x="28575" y="12906375"/>
          <a:ext cx="3295650" cy="361950"/>
        </a:xfrm>
        <a:prstGeom prst="rect">
          <a:avLst/>
        </a:prstGeom>
        <a:noFill/>
      </xdr:spPr>
    </xdr:pic>
    <xdr:clientData/>
  </xdr:twoCellAnchor>
  <xdr:twoCellAnchor>
    <xdr:from>
      <xdr:col>0</xdr:col>
      <xdr:colOff>47625</xdr:colOff>
      <xdr:row>42</xdr:row>
      <xdr:rowOff>0</xdr:rowOff>
    </xdr:from>
    <xdr:to>
      <xdr:col>0</xdr:col>
      <xdr:colOff>3495675</xdr:colOff>
      <xdr:row>42</xdr:row>
      <xdr:rowOff>361950</xdr:rowOff>
    </xdr:to>
    <xdr:pic>
      <xdr:nvPicPr>
        <xdr:cNvPr id="1028" name="Picture 4"/>
        <xdr:cNvPicPr>
          <a:picLocks noChangeAspect="1" noChangeArrowheads="1"/>
        </xdr:cNvPicPr>
      </xdr:nvPicPr>
      <xdr:blipFill>
        <a:blip xmlns:r="http://schemas.openxmlformats.org/officeDocument/2006/relationships" r:embed="rId3" cstate="print">
          <a:clrChange>
            <a:clrFrom>
              <a:srgbClr val="FFFFFF"/>
            </a:clrFrom>
            <a:clrTo>
              <a:srgbClr val="FFFFFF">
                <a:alpha val="0"/>
              </a:srgbClr>
            </a:clrTo>
          </a:clrChange>
        </a:blip>
        <a:srcRect/>
        <a:stretch>
          <a:fillRect/>
        </a:stretch>
      </xdr:blipFill>
      <xdr:spPr bwMode="auto">
        <a:xfrm>
          <a:off x="47625" y="13887450"/>
          <a:ext cx="3448050" cy="361950"/>
        </a:xfrm>
        <a:prstGeom prst="rect">
          <a:avLst/>
        </a:prstGeom>
        <a:noFill/>
      </xdr:spPr>
    </xdr:pic>
    <xdr:clientData/>
  </xdr:twoCellAnchor>
  <xdr:twoCellAnchor>
    <xdr:from>
      <xdr:col>0</xdr:col>
      <xdr:colOff>28575</xdr:colOff>
      <xdr:row>43</xdr:row>
      <xdr:rowOff>180975</xdr:rowOff>
    </xdr:from>
    <xdr:to>
      <xdr:col>0</xdr:col>
      <xdr:colOff>3676650</xdr:colOff>
      <xdr:row>44</xdr:row>
      <xdr:rowOff>352425</xdr:rowOff>
    </xdr:to>
    <xdr:pic>
      <xdr:nvPicPr>
        <xdr:cNvPr id="1029" name="Picture 5"/>
        <xdr:cNvPicPr>
          <a:picLocks noChangeAspect="1" noChangeArrowheads="1"/>
        </xdr:cNvPicPr>
      </xdr:nvPicPr>
      <xdr:blipFill>
        <a:blip xmlns:r="http://schemas.openxmlformats.org/officeDocument/2006/relationships" r:embed="rId4" cstate="print">
          <a:clrChange>
            <a:clrFrom>
              <a:srgbClr val="FFFFFF"/>
            </a:clrFrom>
            <a:clrTo>
              <a:srgbClr val="FFFFFF">
                <a:alpha val="0"/>
              </a:srgbClr>
            </a:clrTo>
          </a:clrChange>
        </a:blip>
        <a:srcRect/>
        <a:stretch>
          <a:fillRect/>
        </a:stretch>
      </xdr:blipFill>
      <xdr:spPr bwMode="auto">
        <a:xfrm>
          <a:off x="28575" y="14458950"/>
          <a:ext cx="3648075" cy="361950"/>
        </a:xfrm>
        <a:prstGeom prst="rect">
          <a:avLst/>
        </a:prstGeom>
        <a:noFill/>
      </xdr:spPr>
    </xdr:pic>
    <xdr:clientData/>
  </xdr:twoCellAnchor>
  <xdr:twoCellAnchor>
    <xdr:from>
      <xdr:col>0</xdr:col>
      <xdr:colOff>66675</xdr:colOff>
      <xdr:row>52</xdr:row>
      <xdr:rowOff>47625</xdr:rowOff>
    </xdr:from>
    <xdr:to>
      <xdr:col>0</xdr:col>
      <xdr:colOff>2886075</xdr:colOff>
      <xdr:row>52</xdr:row>
      <xdr:rowOff>390525</xdr:rowOff>
    </xdr:to>
    <xdr:pic>
      <xdr:nvPicPr>
        <xdr:cNvPr id="1030" name="Picture 6"/>
        <xdr:cNvPicPr>
          <a:picLocks noChangeAspect="1" noChangeArrowheads="1"/>
        </xdr:cNvPicPr>
      </xdr:nvPicPr>
      <xdr:blipFill>
        <a:blip xmlns:r="http://schemas.openxmlformats.org/officeDocument/2006/relationships" r:embed="rId5" cstate="print">
          <a:clrChange>
            <a:clrFrom>
              <a:srgbClr val="FFFFFF"/>
            </a:clrFrom>
            <a:clrTo>
              <a:srgbClr val="FFFFFF">
                <a:alpha val="0"/>
              </a:srgbClr>
            </a:clrTo>
          </a:clrChange>
        </a:blip>
        <a:srcRect/>
        <a:stretch>
          <a:fillRect/>
        </a:stretch>
      </xdr:blipFill>
      <xdr:spPr bwMode="auto">
        <a:xfrm>
          <a:off x="66675" y="17183100"/>
          <a:ext cx="2819400" cy="342900"/>
        </a:xfrm>
        <a:prstGeom prst="rect">
          <a:avLst/>
        </a:prstGeom>
        <a:noFill/>
      </xdr:spPr>
    </xdr:pic>
    <xdr:clientData/>
  </xdr:twoCellAnchor>
  <xdr:twoCellAnchor>
    <xdr:from>
      <xdr:col>0</xdr:col>
      <xdr:colOff>66675</xdr:colOff>
      <xdr:row>53</xdr:row>
      <xdr:rowOff>57150</xdr:rowOff>
    </xdr:from>
    <xdr:to>
      <xdr:col>0</xdr:col>
      <xdr:colOff>2790825</xdr:colOff>
      <xdr:row>53</xdr:row>
      <xdr:rowOff>438150</xdr:rowOff>
    </xdr:to>
    <xdr:pic>
      <xdr:nvPicPr>
        <xdr:cNvPr id="1031" name="Picture 7"/>
        <xdr:cNvPicPr>
          <a:picLocks noChangeAspect="1" noChangeArrowheads="1"/>
        </xdr:cNvPicPr>
      </xdr:nvPicPr>
      <xdr:blipFill>
        <a:blip xmlns:r="http://schemas.openxmlformats.org/officeDocument/2006/relationships" r:embed="rId6" cstate="print">
          <a:clrChange>
            <a:clrFrom>
              <a:srgbClr val="FFFFFF"/>
            </a:clrFrom>
            <a:clrTo>
              <a:srgbClr val="FFFFFF">
                <a:alpha val="0"/>
              </a:srgbClr>
            </a:clrTo>
          </a:clrChange>
        </a:blip>
        <a:srcRect/>
        <a:stretch>
          <a:fillRect/>
        </a:stretch>
      </xdr:blipFill>
      <xdr:spPr bwMode="auto">
        <a:xfrm>
          <a:off x="66675" y="17611725"/>
          <a:ext cx="2724150" cy="381000"/>
        </a:xfrm>
        <a:prstGeom prst="rect">
          <a:avLst/>
        </a:prstGeom>
        <a:noFill/>
      </xdr:spPr>
    </xdr:pic>
    <xdr:clientData/>
  </xdr:twoCellAnchor>
  <xdr:twoCellAnchor>
    <xdr:from>
      <xdr:col>0</xdr:col>
      <xdr:colOff>66675</xdr:colOff>
      <xdr:row>57</xdr:row>
      <xdr:rowOff>28575</xdr:rowOff>
    </xdr:from>
    <xdr:to>
      <xdr:col>0</xdr:col>
      <xdr:colOff>1333500</xdr:colOff>
      <xdr:row>58</xdr:row>
      <xdr:rowOff>0</xdr:rowOff>
    </xdr:to>
    <xdr:pic>
      <xdr:nvPicPr>
        <xdr:cNvPr id="1032" name="Picture 8"/>
        <xdr:cNvPicPr>
          <a:picLocks noChangeAspect="1" noChangeArrowheads="1"/>
        </xdr:cNvPicPr>
      </xdr:nvPicPr>
      <xdr:blipFill>
        <a:blip xmlns:r="http://schemas.openxmlformats.org/officeDocument/2006/relationships" r:embed="rId7" cstate="print">
          <a:clrChange>
            <a:clrFrom>
              <a:srgbClr val="FFFFFF"/>
            </a:clrFrom>
            <a:clrTo>
              <a:srgbClr val="FFFFFF">
                <a:alpha val="0"/>
              </a:srgbClr>
            </a:clrTo>
          </a:clrChange>
        </a:blip>
        <a:srcRect/>
        <a:stretch>
          <a:fillRect/>
        </a:stretch>
      </xdr:blipFill>
      <xdr:spPr bwMode="auto">
        <a:xfrm>
          <a:off x="66675" y="19288125"/>
          <a:ext cx="1266825" cy="361950"/>
        </a:xfrm>
        <a:prstGeom prst="rect">
          <a:avLst/>
        </a:prstGeom>
        <a:noFill/>
      </xdr:spPr>
    </xdr:pic>
    <xdr:clientData/>
  </xdr:twoCellAnchor>
  <xdr:twoCellAnchor>
    <xdr:from>
      <xdr:col>0</xdr:col>
      <xdr:colOff>47625</xdr:colOff>
      <xdr:row>59</xdr:row>
      <xdr:rowOff>38100</xdr:rowOff>
    </xdr:from>
    <xdr:to>
      <xdr:col>0</xdr:col>
      <xdr:colOff>942975</xdr:colOff>
      <xdr:row>59</xdr:row>
      <xdr:rowOff>381000</xdr:rowOff>
    </xdr:to>
    <xdr:pic>
      <xdr:nvPicPr>
        <xdr:cNvPr id="1033" name="Picture 9"/>
        <xdr:cNvPicPr>
          <a:picLocks noChangeAspect="1" noChangeArrowheads="1"/>
        </xdr:cNvPicPr>
      </xdr:nvPicPr>
      <xdr:blipFill>
        <a:blip xmlns:r="http://schemas.openxmlformats.org/officeDocument/2006/relationships" r:embed="rId8" cstate="print">
          <a:clrChange>
            <a:clrFrom>
              <a:srgbClr val="FFFFFF"/>
            </a:clrFrom>
            <a:clrTo>
              <a:srgbClr val="FFFFFF">
                <a:alpha val="0"/>
              </a:srgbClr>
            </a:clrTo>
          </a:clrChange>
        </a:blip>
        <a:srcRect/>
        <a:stretch>
          <a:fillRect/>
        </a:stretch>
      </xdr:blipFill>
      <xdr:spPr bwMode="auto">
        <a:xfrm>
          <a:off x="47625" y="20297775"/>
          <a:ext cx="895350" cy="342900"/>
        </a:xfrm>
        <a:prstGeom prst="rect">
          <a:avLst/>
        </a:prstGeom>
        <a:noFill/>
      </xdr:spPr>
    </xdr:pic>
    <xdr:clientData/>
  </xdr:twoCellAnchor>
  <xdr:twoCellAnchor>
    <xdr:from>
      <xdr:col>0</xdr:col>
      <xdr:colOff>38100</xdr:colOff>
      <xdr:row>60</xdr:row>
      <xdr:rowOff>0</xdr:rowOff>
    </xdr:from>
    <xdr:to>
      <xdr:col>0</xdr:col>
      <xdr:colOff>2066925</xdr:colOff>
      <xdr:row>60</xdr:row>
      <xdr:rowOff>381000</xdr:rowOff>
    </xdr:to>
    <xdr:pic>
      <xdr:nvPicPr>
        <xdr:cNvPr id="1034" name="Picture 10"/>
        <xdr:cNvPicPr>
          <a:picLocks noChangeAspect="1" noChangeArrowheads="1"/>
        </xdr:cNvPicPr>
      </xdr:nvPicPr>
      <xdr:blipFill>
        <a:blip xmlns:r="http://schemas.openxmlformats.org/officeDocument/2006/relationships" r:embed="rId9" cstate="print">
          <a:clrChange>
            <a:clrFrom>
              <a:srgbClr val="FFFFFF"/>
            </a:clrFrom>
            <a:clrTo>
              <a:srgbClr val="FFFFFF">
                <a:alpha val="0"/>
              </a:srgbClr>
            </a:clrTo>
          </a:clrChange>
        </a:blip>
        <a:srcRect/>
        <a:stretch>
          <a:fillRect/>
        </a:stretch>
      </xdr:blipFill>
      <xdr:spPr bwMode="auto">
        <a:xfrm>
          <a:off x="38100" y="20269200"/>
          <a:ext cx="2028825" cy="381000"/>
        </a:xfrm>
        <a:prstGeom prst="rect">
          <a:avLst/>
        </a:prstGeom>
        <a:noFill/>
      </xdr:spPr>
    </xdr:pic>
    <xdr:clientData/>
  </xdr:twoCellAnchor>
  <xdr:twoCellAnchor>
    <xdr:from>
      <xdr:col>0</xdr:col>
      <xdr:colOff>66675</xdr:colOff>
      <xdr:row>62</xdr:row>
      <xdr:rowOff>9525</xdr:rowOff>
    </xdr:from>
    <xdr:to>
      <xdr:col>0</xdr:col>
      <xdr:colOff>2886075</xdr:colOff>
      <xdr:row>63</xdr:row>
      <xdr:rowOff>9525</xdr:rowOff>
    </xdr:to>
    <xdr:pic>
      <xdr:nvPicPr>
        <xdr:cNvPr id="1035" name="Picture 11"/>
        <xdr:cNvPicPr>
          <a:picLocks noChangeAspect="1" noChangeArrowheads="1"/>
        </xdr:cNvPicPr>
      </xdr:nvPicPr>
      <xdr:blipFill>
        <a:blip xmlns:r="http://schemas.openxmlformats.org/officeDocument/2006/relationships" r:embed="rId10" cstate="print">
          <a:clrChange>
            <a:clrFrom>
              <a:srgbClr val="FFFFFF"/>
            </a:clrFrom>
            <a:clrTo>
              <a:srgbClr val="FFFFFF">
                <a:alpha val="0"/>
              </a:srgbClr>
            </a:clrTo>
          </a:clrChange>
        </a:blip>
        <a:srcRect/>
        <a:stretch>
          <a:fillRect/>
        </a:stretch>
      </xdr:blipFill>
      <xdr:spPr bwMode="auto">
        <a:xfrm>
          <a:off x="66675" y="21469350"/>
          <a:ext cx="2819400" cy="561975"/>
        </a:xfrm>
        <a:prstGeom prst="rect">
          <a:avLst/>
        </a:prstGeom>
        <a:noFill/>
      </xdr:spPr>
    </xdr:pic>
    <xdr:clientData/>
  </xdr:twoCellAnchor>
  <xdr:twoCellAnchor>
    <xdr:from>
      <xdr:col>0</xdr:col>
      <xdr:colOff>57150</xdr:colOff>
      <xdr:row>64</xdr:row>
      <xdr:rowOff>0</xdr:rowOff>
    </xdr:from>
    <xdr:to>
      <xdr:col>0</xdr:col>
      <xdr:colOff>1171575</xdr:colOff>
      <xdr:row>65</xdr:row>
      <xdr:rowOff>0</xdr:rowOff>
    </xdr:to>
    <xdr:pic>
      <xdr:nvPicPr>
        <xdr:cNvPr id="1036" name="Picture 12"/>
        <xdr:cNvPicPr>
          <a:picLocks noChangeAspect="1" noChangeArrowheads="1"/>
        </xdr:cNvPicPr>
      </xdr:nvPicPr>
      <xdr:blipFill>
        <a:blip xmlns:r="http://schemas.openxmlformats.org/officeDocument/2006/relationships" r:embed="rId11" cstate="print">
          <a:clrChange>
            <a:clrFrom>
              <a:srgbClr val="FFFFFF"/>
            </a:clrFrom>
            <a:clrTo>
              <a:srgbClr val="FFFFFF">
                <a:alpha val="0"/>
              </a:srgbClr>
            </a:clrTo>
          </a:clrChange>
        </a:blip>
        <a:srcRect/>
        <a:stretch>
          <a:fillRect/>
        </a:stretch>
      </xdr:blipFill>
      <xdr:spPr bwMode="auto">
        <a:xfrm>
          <a:off x="57150" y="21831300"/>
          <a:ext cx="1114425" cy="523875"/>
        </a:xfrm>
        <a:prstGeom prst="rect">
          <a:avLst/>
        </a:prstGeom>
        <a:noFill/>
      </xdr:spPr>
    </xdr:pic>
    <xdr:clientData/>
  </xdr:twoCellAnchor>
  <xdr:twoCellAnchor>
    <xdr:from>
      <xdr:col>0</xdr:col>
      <xdr:colOff>4629150</xdr:colOff>
      <xdr:row>65</xdr:row>
      <xdr:rowOff>19050</xdr:rowOff>
    </xdr:from>
    <xdr:to>
      <xdr:col>0</xdr:col>
      <xdr:colOff>5514975</xdr:colOff>
      <xdr:row>66</xdr:row>
      <xdr:rowOff>28575</xdr:rowOff>
    </xdr:to>
    <xdr:pic>
      <xdr:nvPicPr>
        <xdr:cNvPr id="1038" name="Picture 14"/>
        <xdr:cNvPicPr>
          <a:picLocks noChangeAspect="1" noChangeArrowheads="1"/>
        </xdr:cNvPicPr>
      </xdr:nvPicPr>
      <xdr:blipFill>
        <a:blip xmlns:r="http://schemas.openxmlformats.org/officeDocument/2006/relationships" r:embed="rId12" cstate="print">
          <a:clrChange>
            <a:clrFrom>
              <a:srgbClr val="FFFFFF"/>
            </a:clrFrom>
            <a:clrTo>
              <a:srgbClr val="FFFFFF">
                <a:alpha val="0"/>
              </a:srgbClr>
            </a:clrTo>
          </a:clrChange>
        </a:blip>
        <a:srcRect/>
        <a:stretch>
          <a:fillRect/>
        </a:stretch>
      </xdr:blipFill>
      <xdr:spPr bwMode="auto">
        <a:xfrm>
          <a:off x="4629150" y="22755225"/>
          <a:ext cx="885825" cy="200025"/>
        </a:xfrm>
        <a:prstGeom prst="rect">
          <a:avLst/>
        </a:prstGeom>
        <a:noFill/>
      </xdr:spPr>
    </xdr:pic>
    <xdr:clientData/>
  </xdr:twoCellAnchor>
  <xdr:twoCellAnchor>
    <xdr:from>
      <xdr:col>0</xdr:col>
      <xdr:colOff>5819775</xdr:colOff>
      <xdr:row>66</xdr:row>
      <xdr:rowOff>19050</xdr:rowOff>
    </xdr:from>
    <xdr:to>
      <xdr:col>0</xdr:col>
      <xdr:colOff>6677025</xdr:colOff>
      <xdr:row>67</xdr:row>
      <xdr:rowOff>19050</xdr:rowOff>
    </xdr:to>
    <xdr:pic>
      <xdr:nvPicPr>
        <xdr:cNvPr id="1037" name="Picture 13"/>
        <xdr:cNvPicPr>
          <a:picLocks noChangeAspect="1" noChangeArrowheads="1"/>
        </xdr:cNvPicPr>
      </xdr:nvPicPr>
      <xdr:blipFill>
        <a:blip xmlns:r="http://schemas.openxmlformats.org/officeDocument/2006/relationships" r:embed="rId13" cstate="print">
          <a:clrChange>
            <a:clrFrom>
              <a:srgbClr val="FFFFFF"/>
            </a:clrFrom>
            <a:clrTo>
              <a:srgbClr val="FFFFFF">
                <a:alpha val="0"/>
              </a:srgbClr>
            </a:clrTo>
          </a:clrChange>
        </a:blip>
        <a:srcRect/>
        <a:stretch>
          <a:fillRect/>
        </a:stretch>
      </xdr:blipFill>
      <xdr:spPr bwMode="auto">
        <a:xfrm>
          <a:off x="5819775" y="22945725"/>
          <a:ext cx="857250" cy="190500"/>
        </a:xfrm>
        <a:prstGeom prst="rect">
          <a:avLst/>
        </a:prstGeom>
        <a:noFill/>
      </xdr:spPr>
    </xdr:pic>
    <xdr:clientData/>
  </xdr:twoCellAnchor>
  <xdr:twoCellAnchor>
    <xdr:from>
      <xdr:col>0</xdr:col>
      <xdr:colOff>85725</xdr:colOff>
      <xdr:row>71</xdr:row>
      <xdr:rowOff>76200</xdr:rowOff>
    </xdr:from>
    <xdr:to>
      <xdr:col>0</xdr:col>
      <xdr:colOff>2505075</xdr:colOff>
      <xdr:row>71</xdr:row>
      <xdr:rowOff>600075</xdr:rowOff>
    </xdr:to>
    <xdr:pic>
      <xdr:nvPicPr>
        <xdr:cNvPr id="1039" name="Picture 15"/>
        <xdr:cNvPicPr>
          <a:picLocks noChangeAspect="1" noChangeArrowheads="1"/>
        </xdr:cNvPicPr>
      </xdr:nvPicPr>
      <xdr:blipFill>
        <a:blip xmlns:r="http://schemas.openxmlformats.org/officeDocument/2006/relationships" r:embed="rId14" cstate="print">
          <a:clrChange>
            <a:clrFrom>
              <a:srgbClr val="FFFFFF"/>
            </a:clrFrom>
            <a:clrTo>
              <a:srgbClr val="FFFFFF">
                <a:alpha val="0"/>
              </a:srgbClr>
            </a:clrTo>
          </a:clrChange>
        </a:blip>
        <a:srcRect/>
        <a:stretch>
          <a:fillRect/>
        </a:stretch>
      </xdr:blipFill>
      <xdr:spPr bwMode="auto">
        <a:xfrm>
          <a:off x="85725" y="24145875"/>
          <a:ext cx="2419350" cy="523875"/>
        </a:xfrm>
        <a:prstGeom prst="rect">
          <a:avLst/>
        </a:prstGeom>
        <a:noFill/>
      </xdr:spPr>
    </xdr:pic>
    <xdr:clientData/>
  </xdr:twoCellAnchor>
  <xdr:twoCellAnchor>
    <xdr:from>
      <xdr:col>0</xdr:col>
      <xdr:colOff>5172075</xdr:colOff>
      <xdr:row>76</xdr:row>
      <xdr:rowOff>0</xdr:rowOff>
    </xdr:from>
    <xdr:to>
      <xdr:col>0</xdr:col>
      <xdr:colOff>5991225</xdr:colOff>
      <xdr:row>77</xdr:row>
      <xdr:rowOff>38100</xdr:rowOff>
    </xdr:to>
    <xdr:pic>
      <xdr:nvPicPr>
        <xdr:cNvPr id="1040" name="Picture 16"/>
        <xdr:cNvPicPr>
          <a:picLocks noChangeAspect="1" noChangeArrowheads="1"/>
        </xdr:cNvPicPr>
      </xdr:nvPicPr>
      <xdr:blipFill>
        <a:blip xmlns:r="http://schemas.openxmlformats.org/officeDocument/2006/relationships" r:embed="rId15" cstate="print">
          <a:clrChange>
            <a:clrFrom>
              <a:srgbClr val="FFFFFF"/>
            </a:clrFrom>
            <a:clrTo>
              <a:srgbClr val="FFFFFF">
                <a:alpha val="0"/>
              </a:srgbClr>
            </a:clrTo>
          </a:clrChange>
        </a:blip>
        <a:srcRect/>
        <a:stretch>
          <a:fillRect/>
        </a:stretch>
      </xdr:blipFill>
      <xdr:spPr bwMode="auto">
        <a:xfrm>
          <a:off x="5172075" y="27098625"/>
          <a:ext cx="819150" cy="228600"/>
        </a:xfrm>
        <a:prstGeom prst="rect">
          <a:avLst/>
        </a:prstGeom>
        <a:noFill/>
      </xdr:spPr>
    </xdr:pic>
    <xdr:clientData/>
  </xdr:twoCellAnchor>
  <xdr:twoCellAnchor editAs="oneCell">
    <xdr:from>
      <xdr:col>0</xdr:col>
      <xdr:colOff>523875</xdr:colOff>
      <xdr:row>80</xdr:row>
      <xdr:rowOff>0</xdr:rowOff>
    </xdr:from>
    <xdr:to>
      <xdr:col>0</xdr:col>
      <xdr:colOff>4924425</xdr:colOff>
      <xdr:row>113</xdr:row>
      <xdr:rowOff>0</xdr:rowOff>
    </xdr:to>
    <xdr:pic>
      <xdr:nvPicPr>
        <xdr:cNvPr id="1025" name="Picture 1"/>
        <xdr:cNvPicPr>
          <a:picLocks noChangeAspect="1" noChangeArrowheads="1"/>
        </xdr:cNvPicPr>
      </xdr:nvPicPr>
      <xdr:blipFill>
        <a:blip xmlns:r="http://schemas.openxmlformats.org/officeDocument/2006/relationships" r:embed="rId16" cstate="print"/>
        <a:srcRect/>
        <a:stretch>
          <a:fillRect/>
        </a:stretch>
      </xdr:blipFill>
      <xdr:spPr bwMode="auto">
        <a:xfrm>
          <a:off x="523875" y="27479625"/>
          <a:ext cx="4400550" cy="6286500"/>
        </a:xfrm>
        <a:prstGeom prst="rect">
          <a:avLst/>
        </a:prstGeom>
        <a:noFill/>
        <a:ln>
          <a:solidFill>
            <a:schemeClr val="accent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B1:I46"/>
  <sheetViews>
    <sheetView tabSelected="1" topLeftCell="A2" zoomScale="96" zoomScaleNormal="96" workbookViewId="0">
      <selection activeCell="D12" sqref="D12"/>
    </sheetView>
  </sheetViews>
  <sheetFormatPr defaultRowHeight="15"/>
  <cols>
    <col min="1" max="1" width="0.7109375" customWidth="1"/>
    <col min="2" max="2" width="27.5703125" bestFit="1" customWidth="1"/>
    <col min="3" max="3" width="9.7109375" style="1" customWidth="1"/>
    <col min="5" max="5" width="6" customWidth="1"/>
    <col min="6" max="6" width="19.7109375" customWidth="1"/>
    <col min="7" max="7" width="5.42578125" customWidth="1"/>
    <col min="8" max="8" width="10.5703125" bestFit="1" customWidth="1"/>
    <col min="14" max="18" width="9.140625" customWidth="1"/>
  </cols>
  <sheetData>
    <row r="1" spans="2:9">
      <c r="C1" s="19" t="s">
        <v>53</v>
      </c>
      <c r="D1" s="20" t="s">
        <v>54</v>
      </c>
      <c r="E1" s="17"/>
    </row>
    <row r="2" spans="2:9">
      <c r="B2" s="21" t="s">
        <v>125</v>
      </c>
      <c r="E2" s="17"/>
      <c r="F2" s="21" t="s">
        <v>7</v>
      </c>
      <c r="I2" s="17"/>
    </row>
    <row r="3" spans="2:9">
      <c r="B3" s="22" t="s">
        <v>10</v>
      </c>
      <c r="C3" s="23"/>
      <c r="D3" s="9">
        <v>4944</v>
      </c>
      <c r="E3" s="17"/>
      <c r="F3" s="22" t="s">
        <v>9</v>
      </c>
      <c r="G3" s="96"/>
      <c r="H3" s="24" t="s">
        <v>8</v>
      </c>
      <c r="I3" s="10">
        <v>10</v>
      </c>
    </row>
    <row r="4" spans="2:9">
      <c r="B4" s="25" t="s">
        <v>11</v>
      </c>
      <c r="C4" s="26"/>
      <c r="D4" s="11">
        <v>3284</v>
      </c>
      <c r="E4" s="17"/>
      <c r="F4" s="25" t="s">
        <v>17</v>
      </c>
      <c r="G4" s="97"/>
      <c r="H4" s="27" t="s">
        <v>14</v>
      </c>
      <c r="I4" s="12">
        <v>70</v>
      </c>
    </row>
    <row r="5" spans="2:9">
      <c r="B5" s="25" t="s">
        <v>13</v>
      </c>
      <c r="C5" s="26" t="s">
        <v>12</v>
      </c>
      <c r="D5" s="12">
        <v>4.75</v>
      </c>
      <c r="E5" s="17"/>
      <c r="F5" s="28" t="s">
        <v>15</v>
      </c>
      <c r="G5" s="98"/>
      <c r="H5" s="29" t="s">
        <v>16</v>
      </c>
      <c r="I5" s="30">
        <f>I4/I3</f>
        <v>7</v>
      </c>
    </row>
    <row r="6" spans="2:9">
      <c r="B6" s="25" t="s">
        <v>0</v>
      </c>
      <c r="C6" s="26" t="s">
        <v>1</v>
      </c>
      <c r="D6" s="12">
        <v>2.97</v>
      </c>
      <c r="E6" s="17"/>
      <c r="F6" s="21" t="s">
        <v>20</v>
      </c>
      <c r="G6" s="17"/>
      <c r="H6" s="17"/>
      <c r="I6" s="17"/>
    </row>
    <row r="7" spans="2:9">
      <c r="B7" s="25" t="s">
        <v>65</v>
      </c>
      <c r="C7" s="26" t="s">
        <v>2</v>
      </c>
      <c r="D7" s="12">
        <v>3</v>
      </c>
      <c r="E7" s="17"/>
      <c r="F7" s="22" t="s">
        <v>21</v>
      </c>
      <c r="G7" s="96"/>
      <c r="H7" s="24" t="s">
        <v>22</v>
      </c>
      <c r="I7" s="10">
        <v>120</v>
      </c>
    </row>
    <row r="8" spans="2:9" ht="18">
      <c r="B8" s="25" t="s">
        <v>3</v>
      </c>
      <c r="C8" s="26" t="s">
        <v>4</v>
      </c>
      <c r="D8" s="12">
        <v>100</v>
      </c>
      <c r="E8" s="17"/>
      <c r="F8" s="25" t="s">
        <v>58</v>
      </c>
      <c r="G8" s="97"/>
      <c r="H8" s="27" t="s">
        <v>24</v>
      </c>
      <c r="I8" s="12">
        <v>8</v>
      </c>
    </row>
    <row r="9" spans="2:9" ht="18">
      <c r="B9" s="25" t="s">
        <v>27</v>
      </c>
      <c r="C9" s="26" t="s">
        <v>26</v>
      </c>
      <c r="D9" s="12">
        <v>48600</v>
      </c>
      <c r="E9" s="17"/>
      <c r="F9" s="25" t="s">
        <v>122</v>
      </c>
      <c r="H9" s="27" t="s">
        <v>123</v>
      </c>
      <c r="I9" s="12">
        <v>8</v>
      </c>
    </row>
    <row r="10" spans="2:9" ht="18">
      <c r="B10" s="25" t="s">
        <v>18</v>
      </c>
      <c r="C10" s="26" t="s">
        <v>5</v>
      </c>
      <c r="D10" s="12">
        <v>0.12</v>
      </c>
      <c r="E10" s="17"/>
      <c r="F10" s="25" t="s">
        <v>57</v>
      </c>
      <c r="G10" s="97"/>
      <c r="H10" s="27" t="s">
        <v>23</v>
      </c>
      <c r="I10" s="12">
        <v>4</v>
      </c>
    </row>
    <row r="11" spans="2:9" ht="18.75">
      <c r="B11" s="25" t="s">
        <v>64</v>
      </c>
      <c r="C11" s="26" t="s">
        <v>19</v>
      </c>
      <c r="D11" s="12">
        <v>20</v>
      </c>
      <c r="E11" s="17"/>
      <c r="F11" s="25" t="s">
        <v>56</v>
      </c>
      <c r="G11" s="97"/>
      <c r="H11" s="27" t="s">
        <v>25</v>
      </c>
      <c r="I11" s="12">
        <v>4</v>
      </c>
    </row>
    <row r="12" spans="2:9">
      <c r="B12" s="25" t="str">
        <f>"D.C."&amp;TEXT(D11,"0")&amp;" [e-/pixel/sec]"</f>
        <v>D.C.20 [e-/pixel/sec]</v>
      </c>
      <c r="C12" s="26" t="s">
        <v>5</v>
      </c>
      <c r="D12" s="31">
        <f>D10/2^((25-D11)/5)</f>
        <v>0.06</v>
      </c>
      <c r="E12" s="17"/>
      <c r="F12" s="28" t="s">
        <v>59</v>
      </c>
      <c r="G12" s="98"/>
      <c r="H12" s="29"/>
      <c r="I12" s="13">
        <v>0.5</v>
      </c>
    </row>
    <row r="13" spans="2:9">
      <c r="B13" s="25" t="s">
        <v>60</v>
      </c>
      <c r="D13" s="99">
        <v>14</v>
      </c>
      <c r="E13" s="17"/>
      <c r="F13" s="100" t="s">
        <v>124</v>
      </c>
      <c r="G13" s="101"/>
      <c r="H13" s="102"/>
      <c r="I13" s="103">
        <f>D7/D6/SQRT(I9)</f>
        <v>0.3571246369629027</v>
      </c>
    </row>
    <row r="14" spans="2:9">
      <c r="B14" s="25" t="s">
        <v>121</v>
      </c>
      <c r="D14" s="32">
        <f>2^D13</f>
        <v>16384</v>
      </c>
      <c r="E14" s="17"/>
    </row>
    <row r="15" spans="2:9">
      <c r="B15" s="28" t="s">
        <v>6</v>
      </c>
      <c r="C15" s="33"/>
      <c r="D15" s="14">
        <v>0.1</v>
      </c>
      <c r="E15" s="17"/>
      <c r="F15" s="21" t="s">
        <v>28</v>
      </c>
      <c r="H15" s="34" t="s">
        <v>29</v>
      </c>
      <c r="I15" s="35">
        <f>3600*180/PI()*D5/I4/10000</f>
        <v>1.3996540423910111</v>
      </c>
    </row>
    <row r="16" spans="2:9" ht="6" customHeight="1">
      <c r="B16" s="17"/>
      <c r="C16" s="18"/>
      <c r="D16" s="17"/>
      <c r="E16" s="17"/>
      <c r="F16" s="17"/>
      <c r="H16" s="17"/>
      <c r="I16" s="17"/>
    </row>
    <row r="17" spans="2:9" ht="18">
      <c r="B17" s="22" t="s">
        <v>35</v>
      </c>
      <c r="C17" s="23"/>
      <c r="D17" s="36">
        <f>F28/$D$6+$D$8</f>
        <v>102.42424242424242</v>
      </c>
      <c r="E17" s="17"/>
      <c r="F17" s="22" t="s">
        <v>37</v>
      </c>
      <c r="G17" s="96"/>
      <c r="H17" s="24"/>
      <c r="I17" s="37">
        <f>$I$12*$D$14+D8</f>
        <v>8292</v>
      </c>
    </row>
    <row r="18" spans="2:9" ht="18">
      <c r="B18" s="25" t="s">
        <v>38</v>
      </c>
      <c r="C18" s="26"/>
      <c r="D18" s="38">
        <f>SQRT(F28+$D$7^2)/$D$6</f>
        <v>1.3551927136362361</v>
      </c>
      <c r="E18" s="17"/>
      <c r="F18" s="25" t="s">
        <v>40</v>
      </c>
      <c r="G18" s="97"/>
      <c r="H18" s="27"/>
      <c r="I18" s="88">
        <f>SQRT(I17-D8+$D$7^2/$D$6^2)</f>
        <v>90.515304253206864</v>
      </c>
    </row>
    <row r="19" spans="2:9" ht="18">
      <c r="B19" s="39" t="s">
        <v>43</v>
      </c>
      <c r="C19" s="40">
        <f>I10</f>
        <v>4</v>
      </c>
      <c r="D19" s="41">
        <f>(D17-$D$8)/D18*SQRT($I$10)</f>
        <v>3.5777087639996608</v>
      </c>
      <c r="E19" s="17"/>
      <c r="F19" s="39" t="s">
        <v>45</v>
      </c>
      <c r="G19" s="98"/>
      <c r="H19" s="40">
        <f>I11</f>
        <v>4</v>
      </c>
      <c r="I19" s="42">
        <f>(I17-D8)/I18*SQRT($I$11)</f>
        <v>181.00806416302282</v>
      </c>
    </row>
    <row r="20" spans="2:9" ht="5.25" customHeight="1" thickBot="1">
      <c r="B20" s="17"/>
      <c r="C20" s="18"/>
      <c r="D20" s="17"/>
      <c r="E20" s="17"/>
      <c r="F20" s="17"/>
      <c r="G20" s="17"/>
      <c r="H20" s="17"/>
      <c r="I20" s="17"/>
    </row>
    <row r="21" spans="2:9">
      <c r="B21" s="43"/>
      <c r="C21" s="44"/>
      <c r="D21" s="150" t="s">
        <v>55</v>
      </c>
      <c r="E21" s="150"/>
      <c r="F21" s="44" t="s">
        <v>50</v>
      </c>
      <c r="G21" s="150" t="s">
        <v>49</v>
      </c>
      <c r="H21" s="150"/>
      <c r="I21" s="45" t="s">
        <v>62</v>
      </c>
    </row>
    <row r="22" spans="2:9" ht="17.25">
      <c r="B22" s="46" t="s">
        <v>63</v>
      </c>
      <c r="C22" s="23"/>
      <c r="D22" s="147">
        <v>21</v>
      </c>
      <c r="E22" s="148"/>
      <c r="F22" s="15">
        <v>18</v>
      </c>
      <c r="G22" s="149">
        <v>22.5</v>
      </c>
      <c r="H22" s="148"/>
      <c r="I22" s="16">
        <v>20</v>
      </c>
    </row>
    <row r="23" spans="2:9" ht="12.95" customHeight="1">
      <c r="B23" s="104" t="s">
        <v>126</v>
      </c>
      <c r="C23" s="105"/>
      <c r="D23" s="156">
        <f>100^(-D22/5)*10000000</f>
        <v>3.9810717055349665E-2</v>
      </c>
      <c r="E23" s="155"/>
      <c r="F23" s="106">
        <f>100^(-F22/5)*10000000</f>
        <v>0.63095734448019181</v>
      </c>
      <c r="G23" s="154">
        <f>100^(-G22/5)*10000000</f>
        <v>9.9999999999999725E-3</v>
      </c>
      <c r="H23" s="155"/>
      <c r="I23" s="107">
        <f>100^(-I22/5)*10000000</f>
        <v>0.1</v>
      </c>
    </row>
    <row r="24" spans="2:9" ht="12.95" customHeight="1">
      <c r="B24" s="108" t="s">
        <v>48</v>
      </c>
      <c r="C24" s="109"/>
      <c r="D24" s="151">
        <f>$D$15*D23*PI()/4*($I$3)^2*$I$15^2</f>
        <v>0.61253553283378992</v>
      </c>
      <c r="E24" s="152"/>
      <c r="F24" s="110">
        <f>$D$15*F23*PI()/4*($I$3)^2*$I$15^2</f>
        <v>9.7080339612881374</v>
      </c>
      <c r="G24" s="153">
        <f>$D$15*G23*PI()/4*($I$3)^2*$I$15^2</f>
        <v>0.15386196937426858</v>
      </c>
      <c r="H24" s="152"/>
      <c r="I24" s="107">
        <f>$D$15*I23*PI()/4*($I$3)^2</f>
        <v>0.78539816339744839</v>
      </c>
    </row>
    <row r="25" spans="2:9" ht="12.95" customHeight="1">
      <c r="B25" s="111" t="s">
        <v>30</v>
      </c>
      <c r="C25" s="112"/>
      <c r="D25" s="113"/>
      <c r="E25" s="114"/>
      <c r="F25" s="115">
        <f>F24*$I$7</f>
        <v>1164.9640753545764</v>
      </c>
      <c r="G25" s="163">
        <f>G24*$I$7</f>
        <v>18.46343632491223</v>
      </c>
      <c r="H25" s="164"/>
      <c r="I25" s="116">
        <f>I24*$I$7</f>
        <v>94.247779607693801</v>
      </c>
    </row>
    <row r="26" spans="2:9" ht="12.95" customHeight="1">
      <c r="B26" s="104" t="s">
        <v>61</v>
      </c>
      <c r="C26" s="105"/>
      <c r="D26" s="169">
        <f>$D$24*$I$7</f>
        <v>73.504263940054784</v>
      </c>
      <c r="E26" s="166"/>
      <c r="F26" s="117">
        <f>$D$24*$I$7</f>
        <v>73.504263940054784</v>
      </c>
      <c r="G26" s="165">
        <f>$D$24*$I$7</f>
        <v>73.504263940054784</v>
      </c>
      <c r="H26" s="166"/>
      <c r="I26" s="118">
        <f>$D$24*$I$7</f>
        <v>73.504263940054784</v>
      </c>
    </row>
    <row r="27" spans="2:9" ht="12.95" customHeight="1">
      <c r="B27" s="104" t="s">
        <v>127</v>
      </c>
      <c r="C27" s="105"/>
      <c r="D27" s="169">
        <f>D26+D25</f>
        <v>73.504263940054784</v>
      </c>
      <c r="E27" s="166"/>
      <c r="F27" s="117">
        <f>F26+F25</f>
        <v>1238.4683392946313</v>
      </c>
      <c r="G27" s="165">
        <f>G26+G25</f>
        <v>91.967700264967021</v>
      </c>
      <c r="H27" s="166"/>
      <c r="I27" s="118">
        <f>I26+I25</f>
        <v>167.7520435477486</v>
      </c>
    </row>
    <row r="28" spans="2:9" ht="12.95" customHeight="1">
      <c r="B28" s="108" t="s">
        <v>128</v>
      </c>
      <c r="C28" s="109"/>
      <c r="D28" s="170">
        <f>$I$7*$D$12</f>
        <v>7.1999999999999993</v>
      </c>
      <c r="E28" s="168"/>
      <c r="F28" s="119">
        <f>$I$7*$D$12</f>
        <v>7.1999999999999993</v>
      </c>
      <c r="G28" s="167">
        <f>$I$7*$D$12</f>
        <v>7.1999999999999993</v>
      </c>
      <c r="H28" s="168"/>
      <c r="I28" s="120">
        <f>$I$7*$D$12</f>
        <v>7.1999999999999993</v>
      </c>
    </row>
    <row r="29" spans="2:9" ht="18">
      <c r="B29" s="46" t="s">
        <v>32</v>
      </c>
      <c r="C29" s="157" t="s">
        <v>67</v>
      </c>
      <c r="D29" s="145">
        <f>D27/$D$6+D28/$D$6+$D$8</f>
        <v>127.17315284176928</v>
      </c>
      <c r="E29" s="139"/>
      <c r="F29" s="48">
        <f>F27/$D$6+F28/$D$6+$D$8</f>
        <v>519.41694925745162</v>
      </c>
      <c r="G29" s="138">
        <f>G27/$D$6+G28/$D$6+$D$8</f>
        <v>133.38979806901247</v>
      </c>
      <c r="H29" s="139"/>
      <c r="I29" s="49">
        <f>I27/$D$6+I28/$D$6+$D$8</f>
        <v>158.90641196893893</v>
      </c>
    </row>
    <row r="30" spans="2:9" ht="18">
      <c r="B30" s="47" t="s">
        <v>33</v>
      </c>
      <c r="C30" s="158"/>
      <c r="D30" s="171">
        <f>SQRT(D27+D28+$D$7^2)/$D$6</f>
        <v>3.1889675071471819</v>
      </c>
      <c r="E30" s="141"/>
      <c r="F30" s="54">
        <f>SQRT(F27+F28+$D$7^2)/$D$6</f>
        <v>11.926362902554116</v>
      </c>
      <c r="G30" s="140">
        <f>SQRT(G27+G28+$D$7^2)/$D$6</f>
        <v>3.5018081476288545</v>
      </c>
      <c r="H30" s="141"/>
      <c r="I30" s="55">
        <f>SQRT(I27+I28+$D$7^2)/$D$6</f>
        <v>4.5666303544689884</v>
      </c>
    </row>
    <row r="31" spans="2:9" ht="18">
      <c r="B31" s="56" t="s">
        <v>34</v>
      </c>
      <c r="C31" s="159"/>
      <c r="D31" s="144">
        <f>(D29-$D$8)/D30</f>
        <v>8.520987680454013</v>
      </c>
      <c r="E31" s="143"/>
      <c r="F31" s="52">
        <f>(F29-$D$8)/F30</f>
        <v>35.167213398112388</v>
      </c>
      <c r="G31" s="142">
        <f>(G29-$D$8)/G30</f>
        <v>9.5350163862121864</v>
      </c>
      <c r="H31" s="143"/>
      <c r="I31" s="53">
        <f>(I29-$D$8)/I30</f>
        <v>12.899316869667812</v>
      </c>
    </row>
    <row r="32" spans="2:9" ht="4.5" customHeight="1">
      <c r="B32" s="57"/>
      <c r="C32" s="26"/>
      <c r="D32" s="58"/>
      <c r="E32" s="31"/>
      <c r="F32" s="54"/>
      <c r="G32" s="59"/>
      <c r="H32" s="60"/>
      <c r="I32" s="61"/>
    </row>
    <row r="33" spans="2:9" ht="18">
      <c r="B33" s="46" t="s">
        <v>36</v>
      </c>
      <c r="C33" s="160" t="s">
        <v>68</v>
      </c>
      <c r="D33" s="145">
        <f>D29-$D17</f>
        <v>24.748910417526858</v>
      </c>
      <c r="E33" s="139"/>
      <c r="F33" s="48">
        <f>F29-$D$17</f>
        <v>416.99270683320918</v>
      </c>
      <c r="G33" s="138">
        <f>G29-$D17</f>
        <v>30.965555644770049</v>
      </c>
      <c r="H33" s="139"/>
      <c r="I33" s="49">
        <f>I29-$D$17</f>
        <v>56.482169544696504</v>
      </c>
    </row>
    <row r="34" spans="2:9" ht="18">
      <c r="B34" s="47" t="s">
        <v>39</v>
      </c>
      <c r="C34" s="161"/>
      <c r="D34" s="171">
        <f>SQRT(D30^2/$I$8+$D18^2/$I$10)</f>
        <v>1.3154185809004866</v>
      </c>
      <c r="E34" s="141"/>
      <c r="F34" s="54">
        <f>SQRT(F30^2/$I$8+$D18^2/$I$10)</f>
        <v>4.2707029085620745</v>
      </c>
      <c r="G34" s="140">
        <f>SQRT(G30^2/$I$8+$D18^2/$I$10)</f>
        <v>1.4113714467223593</v>
      </c>
      <c r="H34" s="141"/>
      <c r="I34" s="55">
        <f>SQRT(I30^2/$I$8+$D18^2/$I$10)</f>
        <v>1.7509714224018282</v>
      </c>
    </row>
    <row r="35" spans="2:9" ht="18">
      <c r="B35" s="56" t="s">
        <v>44</v>
      </c>
      <c r="C35" s="162"/>
      <c r="D35" s="144">
        <f>D33/D34</f>
        <v>18.814475313694196</v>
      </c>
      <c r="E35" s="143"/>
      <c r="F35" s="52">
        <f>F33/F34</f>
        <v>97.640298508520857</v>
      </c>
      <c r="G35" s="142">
        <f>G33/G34</f>
        <v>21.94004683648776</v>
      </c>
      <c r="H35" s="143"/>
      <c r="I35" s="53">
        <f>I33/I34</f>
        <v>32.257619297532131</v>
      </c>
    </row>
    <row r="36" spans="2:9" ht="5.25" customHeight="1">
      <c r="B36" s="57"/>
      <c r="C36" s="26"/>
      <c r="D36" s="62"/>
      <c r="E36" s="31"/>
      <c r="F36" s="63"/>
      <c r="G36" s="64"/>
      <c r="H36" s="65"/>
      <c r="I36" s="61"/>
    </row>
    <row r="37" spans="2:9" ht="18">
      <c r="B37" s="46" t="s">
        <v>47</v>
      </c>
      <c r="C37" s="132" t="s">
        <v>66</v>
      </c>
      <c r="D37" s="145">
        <f>D33</f>
        <v>24.748910417526858</v>
      </c>
      <c r="E37" s="139"/>
      <c r="F37" s="48">
        <f>F33</f>
        <v>416.99270683320918</v>
      </c>
      <c r="G37" s="138">
        <f>G33</f>
        <v>30.965555644770049</v>
      </c>
      <c r="H37" s="139"/>
      <c r="I37" s="49">
        <f>I33</f>
        <v>56.482169544696504</v>
      </c>
    </row>
    <row r="38" spans="2:9" ht="18">
      <c r="B38" s="47" t="s">
        <v>41</v>
      </c>
      <c r="C38" s="133"/>
      <c r="D38" s="146">
        <f>D33/D39</f>
        <v>1.4521468008942491</v>
      </c>
      <c r="E38" s="129"/>
      <c r="F38" s="50">
        <f>F33/F39</f>
        <v>6.574427379410233</v>
      </c>
      <c r="G38" s="128">
        <f>G33/G39</f>
        <v>1.5824442427768006</v>
      </c>
      <c r="H38" s="129"/>
      <c r="I38" s="51">
        <f>I33/I39</f>
        <v>2.0630137051910995</v>
      </c>
    </row>
    <row r="39" spans="2:9" ht="18">
      <c r="B39" s="56" t="s">
        <v>46</v>
      </c>
      <c r="C39" s="134"/>
      <c r="D39" s="124">
        <f>1/(1/$I19+1/D35)</f>
        <v>17.042981055555945</v>
      </c>
      <c r="E39" s="125"/>
      <c r="F39" s="66">
        <f>1/(1/$I19+1/F35)</f>
        <v>63.426467853176895</v>
      </c>
      <c r="G39" s="137">
        <f>1/(1/$I19+1/G35)</f>
        <v>19.568181176755466</v>
      </c>
      <c r="H39" s="125"/>
      <c r="I39" s="67">
        <f>1/(1/$I19+1/I35)</f>
        <v>27.37847519023849</v>
      </c>
    </row>
    <row r="40" spans="2:9" ht="4.5" customHeight="1">
      <c r="B40" s="47"/>
      <c r="C40" s="26"/>
      <c r="D40" s="25"/>
      <c r="E40" s="27"/>
      <c r="F40" s="26"/>
      <c r="G40" s="27"/>
      <c r="H40" s="31"/>
      <c r="I40" s="61"/>
    </row>
    <row r="41" spans="2:9" ht="18">
      <c r="B41" s="68" t="s">
        <v>51</v>
      </c>
      <c r="C41" s="121" t="s">
        <v>119</v>
      </c>
      <c r="D41" s="69"/>
      <c r="E41" s="70"/>
      <c r="F41" s="71">
        <f>F33-$D33</f>
        <v>392.24379641568231</v>
      </c>
      <c r="G41" s="126">
        <f>G33-$D33</f>
        <v>6.2166452272431911</v>
      </c>
      <c r="H41" s="127"/>
      <c r="I41" s="72">
        <f>I33-$D33</f>
        <v>31.733259127169646</v>
      </c>
    </row>
    <row r="42" spans="2:9" ht="18">
      <c r="B42" s="47" t="s">
        <v>42</v>
      </c>
      <c r="C42" s="122"/>
      <c r="D42" s="25"/>
      <c r="E42" s="27"/>
      <c r="F42" s="50">
        <f>SQRT(F38^2+$D38^2)</f>
        <v>6.7328913327400661</v>
      </c>
      <c r="G42" s="128">
        <f>SQRT(G38^2+$D38^2)</f>
        <v>2.1477569957620539</v>
      </c>
      <c r="H42" s="129"/>
      <c r="I42" s="51">
        <f>SQRT(I38^2+$D38^2)</f>
        <v>2.5228467807525905</v>
      </c>
    </row>
    <row r="43" spans="2:9" ht="18">
      <c r="B43" s="73" t="s">
        <v>52</v>
      </c>
      <c r="C43" s="123"/>
      <c r="D43" s="74"/>
      <c r="E43" s="75"/>
      <c r="F43" s="76">
        <f>F41/F42</f>
        <v>58.257853428929756</v>
      </c>
      <c r="G43" s="130">
        <f>G41/G42</f>
        <v>2.8944825878858049</v>
      </c>
      <c r="H43" s="131"/>
      <c r="I43" s="77">
        <f>I41/I42</f>
        <v>12.578353695226507</v>
      </c>
    </row>
    <row r="44" spans="2:9" ht="6" customHeight="1">
      <c r="B44" s="89"/>
      <c r="C44" s="90"/>
      <c r="D44" s="91"/>
      <c r="E44" s="92"/>
      <c r="F44" s="93"/>
      <c r="G44" s="93"/>
      <c r="H44" s="94"/>
      <c r="I44" s="95"/>
    </row>
    <row r="45" spans="2:9">
      <c r="B45" s="78" t="s">
        <v>31</v>
      </c>
      <c r="C45" s="79"/>
      <c r="D45" s="80"/>
      <c r="E45" s="81"/>
      <c r="F45" s="82">
        <f>F41/$D33</f>
        <v>15.848931924611128</v>
      </c>
      <c r="G45" s="135">
        <f>G41/$D33</f>
        <v>0.2511886431509584</v>
      </c>
      <c r="H45" s="136"/>
      <c r="I45" s="83">
        <f>I41/$D33</f>
        <v>1.2822083312684571</v>
      </c>
    </row>
    <row r="46" spans="2:9" ht="4.5" customHeight="1" thickBot="1">
      <c r="B46" s="2"/>
      <c r="C46" s="3"/>
      <c r="D46" s="4"/>
      <c r="E46" s="5"/>
      <c r="F46" s="5"/>
      <c r="G46" s="6"/>
      <c r="H46" s="7"/>
      <c r="I46" s="8"/>
    </row>
  </sheetData>
  <sheetProtection sheet="1" objects="1" scenarios="1" formatCells="0" formatColumns="0" formatRows="0"/>
  <mergeCells count="41">
    <mergeCell ref="C29:C31"/>
    <mergeCell ref="C33:C35"/>
    <mergeCell ref="G25:H25"/>
    <mergeCell ref="G26:H26"/>
    <mergeCell ref="G27:H27"/>
    <mergeCell ref="G28:H28"/>
    <mergeCell ref="G29:H29"/>
    <mergeCell ref="G30:H30"/>
    <mergeCell ref="G31:H31"/>
    <mergeCell ref="D31:E31"/>
    <mergeCell ref="D26:E26"/>
    <mergeCell ref="D27:E27"/>
    <mergeCell ref="D28:E28"/>
    <mergeCell ref="D29:E29"/>
    <mergeCell ref="D30:E30"/>
    <mergeCell ref="D34:E34"/>
    <mergeCell ref="D22:E22"/>
    <mergeCell ref="G22:H22"/>
    <mergeCell ref="G21:H21"/>
    <mergeCell ref="D24:E24"/>
    <mergeCell ref="G24:H24"/>
    <mergeCell ref="G23:H23"/>
    <mergeCell ref="D23:E23"/>
    <mergeCell ref="D21:E21"/>
    <mergeCell ref="D35:E35"/>
    <mergeCell ref="G37:H37"/>
    <mergeCell ref="D33:E33"/>
    <mergeCell ref="D38:E38"/>
    <mergeCell ref="D37:E37"/>
    <mergeCell ref="G45:H45"/>
    <mergeCell ref="G39:H39"/>
    <mergeCell ref="G38:H38"/>
    <mergeCell ref="G33:H33"/>
    <mergeCell ref="G34:H34"/>
    <mergeCell ref="G35:H35"/>
    <mergeCell ref="C41:C43"/>
    <mergeCell ref="D39:E39"/>
    <mergeCell ref="G41:H41"/>
    <mergeCell ref="G42:H42"/>
    <mergeCell ref="G43:H43"/>
    <mergeCell ref="C37:C39"/>
  </mergeCells>
  <pageMargins left="0.51181102362204722" right="0.11811023622047245" top="0.74803149606299213" bottom="0.74803149606299213" header="0.31496062992125984" footer="0.31496062992125984"/>
  <pageSetup paperSize="9" scale="99" orientation="portrait" horizontalDpi="4294967295" verticalDpi="4294967295" r:id="rId1"/>
</worksheet>
</file>

<file path=xl/worksheets/sheet2.xml><?xml version="1.0" encoding="utf-8"?>
<worksheet xmlns="http://schemas.openxmlformats.org/spreadsheetml/2006/main" xmlns:r="http://schemas.openxmlformats.org/officeDocument/2006/relationships">
  <dimension ref="A1:A78"/>
  <sheetViews>
    <sheetView topLeftCell="A64" workbookViewId="0">
      <selection activeCell="A79" sqref="A79"/>
    </sheetView>
  </sheetViews>
  <sheetFormatPr defaultRowHeight="15"/>
  <cols>
    <col min="1" max="1" width="124.140625" customWidth="1"/>
  </cols>
  <sheetData>
    <row r="1" spans="1:1" ht="18.75">
      <c r="A1" s="84" t="s">
        <v>69</v>
      </c>
    </row>
    <row r="2" spans="1:1" ht="45">
      <c r="A2" s="85" t="s">
        <v>129</v>
      </c>
    </row>
    <row r="3" spans="1:1">
      <c r="A3" s="85"/>
    </row>
    <row r="4" spans="1:1">
      <c r="A4" s="86" t="s">
        <v>70</v>
      </c>
    </row>
    <row r="5" spans="1:1">
      <c r="A5" t="s">
        <v>71</v>
      </c>
    </row>
    <row r="6" spans="1:1" ht="17.25">
      <c r="A6" s="85" t="s">
        <v>72</v>
      </c>
    </row>
    <row r="7" spans="1:1">
      <c r="A7" s="85" t="s">
        <v>73</v>
      </c>
    </row>
    <row r="8" spans="1:1">
      <c r="A8" s="85" t="s">
        <v>74</v>
      </c>
    </row>
    <row r="9" spans="1:1">
      <c r="A9" s="85" t="s">
        <v>75</v>
      </c>
    </row>
    <row r="10" spans="1:1" ht="30">
      <c r="A10" s="85" t="s">
        <v>88</v>
      </c>
    </row>
    <row r="11" spans="1:1" ht="32.25">
      <c r="A11" s="85" t="s">
        <v>76</v>
      </c>
    </row>
    <row r="12" spans="1:1">
      <c r="A12" s="85" t="s">
        <v>77</v>
      </c>
    </row>
    <row r="13" spans="1:1" ht="17.25">
      <c r="A13" s="85" t="s">
        <v>78</v>
      </c>
    </row>
    <row r="14" spans="1:1" ht="32.25">
      <c r="A14" s="85" t="s">
        <v>79</v>
      </c>
    </row>
    <row r="15" spans="1:1" ht="17.25">
      <c r="A15" s="85" t="s">
        <v>80</v>
      </c>
    </row>
    <row r="16" spans="1:1" ht="32.25">
      <c r="A16" s="85" t="s">
        <v>81</v>
      </c>
    </row>
    <row r="17" spans="1:1">
      <c r="A17" s="85" t="s">
        <v>82</v>
      </c>
    </row>
    <row r="18" spans="1:1" ht="18">
      <c r="A18" s="85" t="s">
        <v>83</v>
      </c>
    </row>
    <row r="19" spans="1:1" ht="18">
      <c r="A19" s="85" t="s">
        <v>84</v>
      </c>
    </row>
    <row r="20" spans="1:1" ht="17.25">
      <c r="A20" s="85" t="s">
        <v>85</v>
      </c>
    </row>
    <row r="21" spans="1:1">
      <c r="A21" s="85" t="s">
        <v>86</v>
      </c>
    </row>
    <row r="22" spans="1:1">
      <c r="A22" s="85" t="s">
        <v>87</v>
      </c>
    </row>
    <row r="24" spans="1:1" ht="45">
      <c r="A24" s="85" t="s">
        <v>120</v>
      </c>
    </row>
    <row r="25" spans="1:1">
      <c r="A25" s="85"/>
    </row>
    <row r="26" spans="1:1" ht="45">
      <c r="A26" s="85" t="s">
        <v>89</v>
      </c>
    </row>
    <row r="27" spans="1:1">
      <c r="A27" s="85"/>
    </row>
    <row r="28" spans="1:1" ht="30">
      <c r="A28" s="85" t="s">
        <v>90</v>
      </c>
    </row>
    <row r="30" spans="1:1">
      <c r="A30" s="86" t="s">
        <v>91</v>
      </c>
    </row>
    <row r="31" spans="1:1" ht="60">
      <c r="A31" s="85" t="s">
        <v>92</v>
      </c>
    </row>
    <row r="32" spans="1:1">
      <c r="A32" s="85"/>
    </row>
    <row r="33" spans="1:1" ht="30">
      <c r="A33" s="85" t="s">
        <v>93</v>
      </c>
    </row>
    <row r="34" spans="1:1" ht="26.25" customHeight="1"/>
    <row r="35" spans="1:1">
      <c r="A35" s="87" t="s">
        <v>94</v>
      </c>
    </row>
    <row r="37" spans="1:1" ht="94.5">
      <c r="A37" s="85" t="s">
        <v>95</v>
      </c>
    </row>
    <row r="38" spans="1:1" ht="45" customHeight="1">
      <c r="A38" s="85" t="s">
        <v>96</v>
      </c>
    </row>
    <row r="39" spans="1:1" ht="60">
      <c r="A39" s="85" t="s">
        <v>97</v>
      </c>
    </row>
    <row r="40" spans="1:1" ht="29.25" customHeight="1"/>
    <row r="41" spans="1:1" ht="18">
      <c r="A41" s="85" t="s">
        <v>98</v>
      </c>
    </row>
    <row r="42" spans="1:1" ht="30">
      <c r="A42" s="85" t="s">
        <v>99</v>
      </c>
    </row>
    <row r="43" spans="1:1" ht="30.75" customHeight="1"/>
    <row r="44" spans="1:1">
      <c r="A44" s="85" t="s">
        <v>100</v>
      </c>
    </row>
    <row r="45" spans="1:1" ht="30" customHeight="1"/>
    <row r="46" spans="1:1">
      <c r="A46" s="85" t="s">
        <v>101</v>
      </c>
    </row>
    <row r="47" spans="1:1" ht="45">
      <c r="A47" s="85" t="s">
        <v>102</v>
      </c>
    </row>
    <row r="49" spans="1:1">
      <c r="A49" s="86" t="s">
        <v>103</v>
      </c>
    </row>
    <row r="50" spans="1:1" ht="15.75" customHeight="1">
      <c r="A50" s="85" t="s">
        <v>130</v>
      </c>
    </row>
    <row r="51" spans="1:1" ht="45">
      <c r="A51" s="85" t="s">
        <v>104</v>
      </c>
    </row>
    <row r="52" spans="1:1">
      <c r="A52" s="85" t="s">
        <v>105</v>
      </c>
    </row>
    <row r="53" spans="1:1" ht="33" customHeight="1"/>
    <row r="54" spans="1:1" ht="35.25" customHeight="1"/>
    <row r="55" spans="1:1" ht="51">
      <c r="A55" s="85" t="s">
        <v>106</v>
      </c>
    </row>
    <row r="56" spans="1:1" ht="33">
      <c r="A56" s="85" t="s">
        <v>107</v>
      </c>
    </row>
    <row r="57" spans="1:1">
      <c r="A57" s="85" t="s">
        <v>108</v>
      </c>
    </row>
    <row r="58" spans="1:1" ht="30.75" customHeight="1"/>
    <row r="59" spans="1:1" ht="18">
      <c r="A59" s="85" t="s">
        <v>109</v>
      </c>
    </row>
    <row r="60" spans="1:1" ht="30.75" customHeight="1"/>
    <row r="61" spans="1:1" ht="30.75" customHeight="1"/>
    <row r="62" spans="1:1" ht="33">
      <c r="A62" s="85" t="s">
        <v>110</v>
      </c>
    </row>
    <row r="63" spans="1:1" ht="44.25" customHeight="1"/>
    <row r="64" spans="1:1">
      <c r="A64" s="85" t="s">
        <v>111</v>
      </c>
    </row>
    <row r="65" spans="1:1" ht="41.25" customHeight="1"/>
    <row r="66" spans="1:1">
      <c r="A66" s="85" t="s">
        <v>112</v>
      </c>
    </row>
    <row r="67" spans="1:1">
      <c r="A67" s="85" t="s">
        <v>131</v>
      </c>
    </row>
    <row r="68" spans="1:1">
      <c r="A68" s="85" t="s">
        <v>113</v>
      </c>
    </row>
    <row r="70" spans="1:1" ht="45">
      <c r="A70" s="85" t="s">
        <v>114</v>
      </c>
    </row>
    <row r="71" spans="1:1" ht="30">
      <c r="A71" s="85" t="s">
        <v>115</v>
      </c>
    </row>
    <row r="72" spans="1:1" ht="51" customHeight="1"/>
    <row r="73" spans="1:1" ht="51">
      <c r="A73" s="85" t="s">
        <v>132</v>
      </c>
    </row>
    <row r="75" spans="1:1" ht="76.5" customHeight="1">
      <c r="A75" s="85" t="s">
        <v>116</v>
      </c>
    </row>
    <row r="77" spans="1:1">
      <c r="A77" t="s">
        <v>117</v>
      </c>
    </row>
    <row r="78" spans="1:1">
      <c r="A78" t="s">
        <v>118</v>
      </c>
    </row>
  </sheetData>
  <pageMargins left="0.7" right="0.7" top="0.75" bottom="0.75" header="0.3" footer="0.3"/>
  <pageSetup paperSize="9"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StoN analyse</vt:lpstr>
      <vt:lpstr>Gebruikte formules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 van Dorp</dc:creator>
  <cp:lastModifiedBy>Johan van Dorp</cp:lastModifiedBy>
  <cp:lastPrinted>2018-12-10T14:10:24Z</cp:lastPrinted>
  <dcterms:created xsi:type="dcterms:W3CDTF">2018-12-10T11:06:10Z</dcterms:created>
  <dcterms:modified xsi:type="dcterms:W3CDTF">2019-05-24T07:12:44Z</dcterms:modified>
</cp:coreProperties>
</file>